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4" firstSheet="2" activeTab="2"/>
  </bookViews>
  <sheets>
    <sheet name="Acerno_Cache_XXXXX" sheetId="1" state="veryHidden" r:id="rId1"/>
    <sheet name="Sheet1" sheetId="2" state="hidden" r:id="rId2"/>
    <sheet name="SUMMARY" sheetId="3" r:id="rId3"/>
    <sheet name="PAYMENT PLAN" sheetId="4" r:id="rId4"/>
  </sheets>
  <definedNames>
    <definedName name="_xlnm.Print_Area" localSheetId="3">'PAYMENT PLAN'!#REF!</definedName>
    <definedName name="_xlnm.Print_Area" localSheetId="2">'SUMMARY'!$A$1:$F$59</definedName>
  </definedNames>
  <calcPr fullCalcOnLoad="1"/>
</workbook>
</file>

<file path=xl/comments3.xml><?xml version="1.0" encoding="utf-8"?>
<comments xmlns="http://schemas.openxmlformats.org/spreadsheetml/2006/main">
  <authors>
    <author>Sara Mlay</author>
  </authors>
  <commentList>
    <comment ref="K28" authorId="0">
      <text>
        <r>
          <rPr>
            <b/>
            <sz val="9"/>
            <rFont val="Tahoma"/>
            <family val="2"/>
          </rPr>
          <t>Sara Mlay:</t>
        </r>
        <r>
          <rPr>
            <sz val="9"/>
            <rFont val="Tahoma"/>
            <family val="2"/>
          </rPr>
          <t xml:space="preserve">
IPTL
</t>
        </r>
      </text>
    </comment>
    <comment ref="K29" authorId="0">
      <text>
        <r>
          <rPr>
            <b/>
            <sz val="9"/>
            <rFont val="Tahoma"/>
            <family val="2"/>
          </rPr>
          <t>Sara Mlay:</t>
        </r>
        <r>
          <rPr>
            <sz val="9"/>
            <rFont val="Tahoma"/>
            <family val="2"/>
          </rPr>
          <t xml:space="preserve">
OTHER ENERGY
</t>
        </r>
      </text>
    </comment>
    <comment ref="K30" authorId="0">
      <text>
        <r>
          <rPr>
            <b/>
            <sz val="9"/>
            <rFont val="Tahoma"/>
            <family val="2"/>
          </rPr>
          <t>Sara Mlay:</t>
        </r>
        <r>
          <rPr>
            <sz val="9"/>
            <rFont val="Tahoma"/>
            <family val="2"/>
          </rPr>
          <t xml:space="preserve">
OTHERS
</t>
        </r>
      </text>
    </comment>
  </commentList>
</comments>
</file>

<file path=xl/sharedStrings.xml><?xml version="1.0" encoding="utf-8"?>
<sst xmlns="http://schemas.openxmlformats.org/spreadsheetml/2006/main" count="469" uniqueCount="431">
  <si>
    <t>MEK ONE GENERAL TRADERS LTD</t>
  </si>
  <si>
    <t>PETROLUBE</t>
  </si>
  <si>
    <t>USD</t>
  </si>
  <si>
    <t>TSHS</t>
  </si>
  <si>
    <t>TPC LIMITED</t>
  </si>
  <si>
    <t>ZESCO</t>
  </si>
  <si>
    <t>TOTAL</t>
  </si>
  <si>
    <t>EUR</t>
  </si>
  <si>
    <t>TOTAL(TZS)</t>
  </si>
  <si>
    <t>EMERGENCY POWER PURCHASE:</t>
  </si>
  <si>
    <t>SUB TOTAL</t>
  </si>
  <si>
    <t>OTHER ENERGY AND GAS PURCHASE:</t>
  </si>
  <si>
    <t>UECTL</t>
  </si>
  <si>
    <t>KENYA POWER &amp; LIGHTING CO LTD</t>
  </si>
  <si>
    <t xml:space="preserve">SONGAS </t>
  </si>
  <si>
    <t>TANGANYIKA WATTLE COMPANY LIMITED</t>
  </si>
  <si>
    <t>GRAND TOTAL</t>
  </si>
  <si>
    <t>AGING</t>
  </si>
  <si>
    <t xml:space="preserve"> </t>
  </si>
  <si>
    <t>PAYMENTS</t>
  </si>
  <si>
    <t>ENERGY PURCHASE</t>
  </si>
  <si>
    <t>OUTSTANDING</t>
  </si>
  <si>
    <t>PAID LAST WEEK</t>
  </si>
  <si>
    <t>PROPOSED PAYMENTS</t>
  </si>
  <si>
    <t>NEXT WEEK PAYMENTS</t>
  </si>
  <si>
    <t>DUE(TSHS)</t>
  </si>
  <si>
    <t>NOT DUE</t>
  </si>
  <si>
    <t>30 DAYS</t>
  </si>
  <si>
    <t>60 DAYS</t>
  </si>
  <si>
    <t>90 DAYS</t>
  </si>
  <si>
    <t>120 DAYS</t>
  </si>
  <si>
    <t>150 DAYS</t>
  </si>
  <si>
    <t>OLDER</t>
  </si>
  <si>
    <t>IPTL TOTAL OUTSTANDING</t>
  </si>
  <si>
    <t xml:space="preserve"> LESS:   ESCROW A/C</t>
  </si>
  <si>
    <t xml:space="preserve">               PAYMENTS TO WARTSILA</t>
  </si>
  <si>
    <t xml:space="preserve">               PAYMENTS TO LIQUIDATOR</t>
  </si>
  <si>
    <t xml:space="preserve">TOTAL OUTSTANDING BALANCE </t>
  </si>
  <si>
    <t>LESS: BONUS, INTEREST, GAS CONVERSION COST AND VAT</t>
  </si>
  <si>
    <t>NET OUTSTANDING BALANCE</t>
  </si>
  <si>
    <t>JACOBSEN ELEKTRO</t>
  </si>
  <si>
    <t>M&amp;P EXPLORATION PRODUCTION (T) LIMITED</t>
  </si>
  <si>
    <t>WARTSILA TANZANIA LTD 45MW</t>
  </si>
  <si>
    <t>FUEL &amp; LUBRICATING CREDITORS</t>
  </si>
  <si>
    <t>BP (T) LTD  (PUMA ENERGY)</t>
  </si>
  <si>
    <t>TOTAL (T) LTD</t>
  </si>
  <si>
    <t>ORYX</t>
  </si>
  <si>
    <t>GBP</t>
  </si>
  <si>
    <t>TANGA PETROLEUM COMPANY LIMITED</t>
  </si>
  <si>
    <t>MOTOR VEHICLE FUEL CREDITORS</t>
  </si>
  <si>
    <t>OILCOM (T) LTD, A.S. COMPANY LTD</t>
  </si>
  <si>
    <t>SALUM KHAMIS SALUM</t>
  </si>
  <si>
    <t>RAFIKI PETROL STATION</t>
  </si>
  <si>
    <t>LAKE OIL</t>
  </si>
  <si>
    <t>SHASHIKANT K.LAL LTD</t>
  </si>
  <si>
    <t>SUPPLIERS OF MATERIALS</t>
  </si>
  <si>
    <t>AUTO MECH LTD</t>
  </si>
  <si>
    <t>ABB LTD</t>
  </si>
  <si>
    <t>COMFIX &amp; ENGINEERING</t>
  </si>
  <si>
    <t>KILIMANJARO INDUSTRIAL DEVELOPMENT TRUST(KIDT)</t>
  </si>
  <si>
    <t>CRITICAL ENGINEERING SOLUTIONS CONSTRUCTION CO. LTD</t>
  </si>
  <si>
    <t>QUALITY TRADE AND DISTRIBUTION LTD</t>
  </si>
  <si>
    <t>ANISHA'S LIMITED</t>
  </si>
  <si>
    <t>EAST AFRICAN CABLES</t>
  </si>
  <si>
    <t>SAO HILL</t>
  </si>
  <si>
    <t>MUFINDI WOODPOLE</t>
  </si>
  <si>
    <t>NJUKI ENTERPRISES</t>
  </si>
  <si>
    <t>ENERGY &amp; TELECOMS (T) LTD</t>
  </si>
  <si>
    <t>NIKKI TELECOM &amp; POWER TECHNOLOIES LIMITED</t>
  </si>
  <si>
    <t>TRANSPORT &amp; MOTOR VEHICLE REPAIR</t>
  </si>
  <si>
    <t>TIGER MOTORS</t>
  </si>
  <si>
    <t>MKOMBOZI AUTO WORKS</t>
  </si>
  <si>
    <t>M.E. &amp; COMPANY LTD</t>
  </si>
  <si>
    <t>KIDABA AUTO WORKS</t>
  </si>
  <si>
    <t>KITETE AUTO WORKS</t>
  </si>
  <si>
    <t>OTHERS</t>
  </si>
  <si>
    <t>ASAS DAIRIES LTD</t>
  </si>
  <si>
    <t>SUPER MEALS LIMITED</t>
  </si>
  <si>
    <t>TANGA FRESH LIMITED</t>
  </si>
  <si>
    <t>TECHNICAL OVERSEAS MARKETING CO. LTD (TOMCO)</t>
  </si>
  <si>
    <t>GOLD CREST HOTEL</t>
  </si>
  <si>
    <t>GO ON INVESTMENT</t>
  </si>
  <si>
    <t>AKSHAR (AFRICA) LIMITED</t>
  </si>
  <si>
    <t>EMEC ENGINEERING LIMITED</t>
  </si>
  <si>
    <t>SCIE (T) LTD</t>
  </si>
  <si>
    <t>GEREGEZZA ENTERPRISES</t>
  </si>
  <si>
    <t>TANZANIA TRADING HOUSE LTD</t>
  </si>
  <si>
    <t>SHARRIFS SERVICE AND GENERAL SUPPLY</t>
  </si>
  <si>
    <t>TANZANIA BUREAU OF STANDARDS</t>
  </si>
  <si>
    <t>GOLD SHADOW ENTERPRISES</t>
  </si>
  <si>
    <t>RENTOKIL INITIAL</t>
  </si>
  <si>
    <t>BACKLANDS TANZANIA LTD</t>
  </si>
  <si>
    <t>HACAT GENERAL SUPPLIES</t>
  </si>
  <si>
    <t>VISION AND TECHNOLOGIES</t>
  </si>
  <si>
    <t>PRINTING &amp; STATIONERY</t>
  </si>
  <si>
    <t>R&amp;M  GENERAL</t>
  </si>
  <si>
    <t>ADVERTISING CREDITORS:</t>
  </si>
  <si>
    <t>NEW HABARI (2006) LIMITED</t>
  </si>
  <si>
    <t>TANZANIA STANDARD (NEWS PAPERS) LIMITED</t>
  </si>
  <si>
    <t>TANZANIA BROADCASTING CORPORATION</t>
  </si>
  <si>
    <t>FREE MEDIA LTD</t>
  </si>
  <si>
    <t>UHURU PUBLICATIONS LIMITED</t>
  </si>
  <si>
    <t>MWANANCHI COMMUNICATIONS LIMITED</t>
  </si>
  <si>
    <t>E.SHAMTE</t>
  </si>
  <si>
    <t>UTILITIES</t>
  </si>
  <si>
    <t>PHOENIX OF TANZANIA ASSURANCE CO. LTD</t>
  </si>
  <si>
    <t>VODACOM</t>
  </si>
  <si>
    <t>REA LEVY</t>
  </si>
  <si>
    <t>EWURA LEVY</t>
  </si>
  <si>
    <t>TANELEC LIMITED</t>
  </si>
  <si>
    <t>LAB EQUIP LTD</t>
  </si>
  <si>
    <t>TAN DAIRIES</t>
  </si>
  <si>
    <t xml:space="preserve">    CAMEL</t>
  </si>
  <si>
    <t xml:space="preserve">    GBP</t>
  </si>
  <si>
    <t>CAMEL OIL</t>
  </si>
  <si>
    <t xml:space="preserve">     TAPCO</t>
  </si>
  <si>
    <t>PIONEER TANZANIA LTD</t>
  </si>
  <si>
    <t>ROYAL PROCUREMENT LTD</t>
  </si>
  <si>
    <t>CARSON INVESTMENT</t>
  </si>
  <si>
    <t>INTERTRADE COMMERCIAL SERVICE</t>
  </si>
  <si>
    <t>MWENGA HYDRO LIMITED</t>
  </si>
  <si>
    <t>AGGREKO                                   (USD)</t>
  </si>
  <si>
    <t>AGGREKO                                    (TZS)</t>
  </si>
  <si>
    <t>SYMBION  POWER LLC          (USD)</t>
  </si>
  <si>
    <t>SYMBION  POWER (T) LTD     (TZS)</t>
  </si>
  <si>
    <t>AGGREKO INTERNATIONAL(ENERGY)</t>
  </si>
  <si>
    <t>FUEL FOR ISOLATED PLANTS AND LUBES:</t>
  </si>
  <si>
    <t xml:space="preserve">    ORYX OIL</t>
  </si>
  <si>
    <t xml:space="preserve">    OTHERS</t>
  </si>
  <si>
    <t>MATERIALS</t>
  </si>
  <si>
    <t>ADD: INSURANCE NIC USD 349,455.00</t>
  </si>
  <si>
    <t>NEXLAW ADVOCATES</t>
  </si>
  <si>
    <t xml:space="preserve">PENTAGON </t>
  </si>
  <si>
    <t>FURNITURE CENTRE</t>
  </si>
  <si>
    <t>SURA TECHNOLOGIES LIMITED</t>
  </si>
  <si>
    <t>T.P.D.C</t>
  </si>
  <si>
    <t>NEW FOREST</t>
  </si>
  <si>
    <t>NYAMTURA SECURITY COMPANY LTD</t>
  </si>
  <si>
    <t>SUMA JKT GUARD LTD</t>
  </si>
  <si>
    <t>IMMMA ADVOCATES</t>
  </si>
  <si>
    <t>WARTSILA TANZANIA LTD  (EURO)</t>
  </si>
  <si>
    <t>WARTSILA TANZANIA LTD  (TZS)</t>
  </si>
  <si>
    <t>RENTOKIL INITIAL (T) LTD</t>
  </si>
  <si>
    <t>MAGNUS CATERING SERVICES</t>
  </si>
  <si>
    <t>DAWASCO</t>
  </si>
  <si>
    <t>MASU INTERTRADE LTD</t>
  </si>
  <si>
    <t>TANZANIA POSTS CORPORATION</t>
  </si>
  <si>
    <t>PSPTB</t>
  </si>
  <si>
    <t>NGOMBENI POWER LTD</t>
  </si>
  <si>
    <t>PAN AFRICAN ENERGY-GAS</t>
  </si>
  <si>
    <t>M&amp;P EXPLORATION-GAS</t>
  </si>
  <si>
    <t>T.P.D.C-GAS</t>
  </si>
  <si>
    <t>TTCL</t>
  </si>
  <si>
    <t>PETRA GENERAL SUPPLIES</t>
  </si>
  <si>
    <t>HEDAL GENERAL SUPPLIES</t>
  </si>
  <si>
    <t>KWADU MIKOMA</t>
  </si>
  <si>
    <t>SEMVUA</t>
  </si>
  <si>
    <t>MULT LOCK</t>
  </si>
  <si>
    <t>LAL GARAGE</t>
  </si>
  <si>
    <t>CALMAX TRADERS</t>
  </si>
  <si>
    <t>DUBAI</t>
  </si>
  <si>
    <t>OPTION ONE</t>
  </si>
  <si>
    <t>FARM EQUIP.</t>
  </si>
  <si>
    <t>DHL (T) LTD</t>
  </si>
  <si>
    <t>SUNSHINE GENERAL SECURITY SERVICES</t>
  </si>
  <si>
    <t>ALLIANCE DAY &amp; NIGHT SECURITY GUARD LTD</t>
  </si>
  <si>
    <t>MFI OFFICE SOLUTIONS LTD</t>
  </si>
  <si>
    <t>ARDOR ATTORNEYS</t>
  </si>
  <si>
    <t>ICSID</t>
  </si>
  <si>
    <t>MPUTA SECURITY SERVICE CO. LTD</t>
  </si>
  <si>
    <t>SECURITY GROUP (T) LTD</t>
  </si>
  <si>
    <t>ULTMATE SECURITY TANZANIA</t>
  </si>
  <si>
    <t>GPS SECURITY (T) LTD</t>
  </si>
  <si>
    <t>UMOJA WA WAZEE KINONDONI</t>
  </si>
  <si>
    <t>ZABRON TRADING CO. LTD</t>
  </si>
  <si>
    <t xml:space="preserve">SONGAS -PAYABLE                         </t>
  </si>
  <si>
    <t>IPTL(ORIGINAL PPA)</t>
  </si>
  <si>
    <t>PAN AFRICAN ENERGY-PAYABLE</t>
  </si>
  <si>
    <t>PAN AFRICAN ENERGY-DISPUTES</t>
  </si>
  <si>
    <t>TOTAL TZ LTD(AGGREKO FUEL)</t>
  </si>
  <si>
    <t>BUSINESS TIMES LTD (BTL)</t>
  </si>
  <si>
    <t xml:space="preserve">AUDIT &amp; CONSULTANCY SERVICES </t>
  </si>
  <si>
    <t>KINONDONI MUNICIPAL COUNCIL</t>
  </si>
  <si>
    <t>HOTEL ACCOMODATION</t>
  </si>
  <si>
    <t>BLUE PEARL HOTEL</t>
  </si>
  <si>
    <t>ADVANCE PAYMENT</t>
  </si>
  <si>
    <t>INTERTRADE COMMERCIAL SERVICES (P) LTD</t>
  </si>
  <si>
    <t>AIRTEL</t>
  </si>
  <si>
    <t>CLEARING CHARGES</t>
  </si>
  <si>
    <t>FIRST CHOICE CLEARING &amp; FORWARDING LTD</t>
  </si>
  <si>
    <t>TAXES AND LEVIES</t>
  </si>
  <si>
    <t>INSURANCE AND COMPENSATION</t>
  </si>
  <si>
    <t>ALLIANCE INSURANCE CO. LTD</t>
  </si>
  <si>
    <t>WORKMEN'S COMPENSATION</t>
  </si>
  <si>
    <t>YELLOW  PAGES  LTD</t>
  </si>
  <si>
    <t>P P R A</t>
  </si>
  <si>
    <t>MUHARAMI JUMA SABILI</t>
  </si>
  <si>
    <t>SECURITY SERVICES</t>
  </si>
  <si>
    <t>SAMU SECURICOR INTERNATIONAL (T) LTD</t>
  </si>
  <si>
    <t>STEMO SECURITY SYSTEMS CO.LTD</t>
  </si>
  <si>
    <t>SENGO 2000 TANZANIA LIMITED</t>
  </si>
  <si>
    <t>LEGAL SERVICES</t>
  </si>
  <si>
    <t xml:space="preserve">CRAX LAW PARTNERS </t>
  </si>
  <si>
    <t>RAPHAEL GODWIN MUTAKYAWA</t>
  </si>
  <si>
    <t>CLEANING CHARGES</t>
  </si>
  <si>
    <t>GREEN WASTE PRO LIMITED</t>
  </si>
  <si>
    <t>ZAMBETAKIS LOGISTICS &amp; SHIP SERVICES</t>
  </si>
  <si>
    <t>LEMADE HAULIERS LTD</t>
  </si>
  <si>
    <t>TRAINING &amp; OUTFIT ALLOWANCES</t>
  </si>
  <si>
    <t>PPRA-(TR)</t>
  </si>
  <si>
    <t>NATIONAL BOARD OF ACCOUNTANT &amp; AUDITORS-NBAA-(TR)</t>
  </si>
  <si>
    <t>ASSOCIATION OF TANZANIA EMPLOYERS (ATE)</t>
  </si>
  <si>
    <t>WATER BILLS</t>
  </si>
  <si>
    <t>MEDICAL</t>
  </si>
  <si>
    <t>MIKUMI HOSPITAL</t>
  </si>
  <si>
    <t>MEDICAL CHARGES</t>
  </si>
  <si>
    <t>OTHER UTILITIES</t>
  </si>
  <si>
    <t>AUDIT FEES, LEGAL FEES &amp; CONSULTANCY</t>
  </si>
  <si>
    <t>CONTRACTORS</t>
  </si>
  <si>
    <t>TAXES, LEVIES, RENTS &amp; CLEARING CHARGES</t>
  </si>
  <si>
    <t>ADVANCE PAYMENTS</t>
  </si>
  <si>
    <t>INSURANCE &amp; COMPESATION</t>
  </si>
  <si>
    <t>REPAIR &amp; MAINTENANCE</t>
  </si>
  <si>
    <t>AUCTION GARAGE</t>
  </si>
  <si>
    <t xml:space="preserve">SONGAS-DISPUTES                        </t>
  </si>
  <si>
    <t>UPANGA EYE CENTRE</t>
  </si>
  <si>
    <t>EDWARD MICHAUD MEMORIAL HEALTH CENTRE</t>
  </si>
  <si>
    <t xml:space="preserve">J.M GENERAL SUPPLIES </t>
  </si>
  <si>
    <t>SHEDA ENTERPRISES</t>
  </si>
  <si>
    <t>JOHNSON GENERAL SUPPLIES</t>
  </si>
  <si>
    <t>ITEMBWENI GENERAL TRADERS</t>
  </si>
  <si>
    <t>WAMBI LUBE</t>
  </si>
  <si>
    <t xml:space="preserve">CIVIL &amp; ELECTRICAL CONTRACTORS </t>
  </si>
  <si>
    <t>CHEQUE WITH ORDER</t>
  </si>
  <si>
    <t>MICKY GARMENTS MANUFACTURING CO</t>
  </si>
  <si>
    <t>CHESTER</t>
  </si>
  <si>
    <t>BUSINES CONNEXION</t>
  </si>
  <si>
    <t>KEFAD</t>
  </si>
  <si>
    <t>ITV</t>
  </si>
  <si>
    <t>AFREWHEEL</t>
  </si>
  <si>
    <t>SUPER DOLL</t>
  </si>
  <si>
    <t>IHO</t>
  </si>
  <si>
    <t>OCEANIC BAY HOTEL&amp;RESORT</t>
  </si>
  <si>
    <t>MAWANJENI ELECTRICAL SERVICES LIMITED</t>
  </si>
  <si>
    <t>MOUNT UKOMBOZI</t>
  </si>
  <si>
    <t>TANZANIA OCCUPATIONAL HEALTH SERVICE</t>
  </si>
  <si>
    <t xml:space="preserve">KAIRUKI HOSPITAL </t>
  </si>
  <si>
    <t>MUHIMBILI ORTHOPAEDIC INSTITUTE</t>
  </si>
  <si>
    <t>TOYOTA ( T ) LTD</t>
  </si>
  <si>
    <t>DIAMOND MOTORS</t>
  </si>
  <si>
    <t>ASSOCIATION OF CONSULTING ENGINEERS TANZANIA (ACET)</t>
  </si>
  <si>
    <t>COMMUNICATION &amp; CABLES</t>
  </si>
  <si>
    <t>IPTL(FROM SEPT 2013)</t>
  </si>
  <si>
    <t>UNICOOL EAST AFRICA LIMITED</t>
  </si>
  <si>
    <t xml:space="preserve">MAS INTER -TRADERS  </t>
  </si>
  <si>
    <t>TANZANIA GLOBAL LEARNING AGENCY</t>
  </si>
  <si>
    <t>THE AGA KHANI HOSPITAL</t>
  </si>
  <si>
    <t>HITECH SAI HEALTHCARE CENTRE</t>
  </si>
  <si>
    <t>TUMAINI MISSION DISPENSARY</t>
  </si>
  <si>
    <t>BURHANI CHARITABLE HEALTH CENTRE</t>
  </si>
  <si>
    <t>ARAFA MBAGALA KUU DISPENSARY</t>
  </si>
  <si>
    <t>TMJ HOSPITAL</t>
  </si>
  <si>
    <t>TRAVELLING AGENTS</t>
  </si>
  <si>
    <t>CITY SERVICE LEVY</t>
  </si>
  <si>
    <t>JIRANI GROUP SECURITY SERVICE LTD</t>
  </si>
  <si>
    <t>SUPREME INTERNATIONAL LIMITED</t>
  </si>
  <si>
    <t>SEMCO</t>
  </si>
  <si>
    <t xml:space="preserve">SHANGTAN </t>
  </si>
  <si>
    <t>MFI DOCUMENT SOLUTION</t>
  </si>
  <si>
    <t>SECULARMS (T) LTD</t>
  </si>
  <si>
    <t>ALLYSON'S</t>
  </si>
  <si>
    <t>BAHDELA</t>
  </si>
  <si>
    <t>DATAS</t>
  </si>
  <si>
    <t>FURNITURE AND CARPET WORLD</t>
  </si>
  <si>
    <t>SATCOM</t>
  </si>
  <si>
    <t>RIVERTON</t>
  </si>
  <si>
    <t>MUHIMBILI NATIONAL HOSPITAL</t>
  </si>
  <si>
    <t>ARAFA MBAGALA RANGI TATU DISPENSARY</t>
  </si>
  <si>
    <t>REGENCY MEDICAL CENTRE</t>
  </si>
  <si>
    <t>CMC AUTOMOBILES</t>
  </si>
  <si>
    <t>SCI</t>
  </si>
  <si>
    <t>PRIMETECH</t>
  </si>
  <si>
    <t>MISTERLIGHT</t>
  </si>
  <si>
    <t xml:space="preserve">APEX FZ LLC </t>
  </si>
  <si>
    <t>CFAO  MOTORS TANZANIA  LTD</t>
  </si>
  <si>
    <t>MADONA HOSPITAL</t>
  </si>
  <si>
    <t>NAKIETE PHARMARCY</t>
  </si>
  <si>
    <t>BOCHI HEALTH CENTRE</t>
  </si>
  <si>
    <t>SANITAS HOSPITAL</t>
  </si>
  <si>
    <t>ILALA MUNICIPAL COUNCIL</t>
  </si>
  <si>
    <t>TEMEKE MUNICIPAL COUNCIL</t>
  </si>
  <si>
    <t>VICTORIA  COMPUTERS &amp; TELECOMS LTD</t>
  </si>
  <si>
    <t>ABMC INTERNATIONAL LTD</t>
  </si>
  <si>
    <t>EFFECTIVE HUMAN INTERVENTION  CC</t>
  </si>
  <si>
    <t>ABBAS MEDICAL CENTRE</t>
  </si>
  <si>
    <t>HASAT BUILDING CONTRACTORS COMPANY LTD</t>
  </si>
  <si>
    <t>SUPERTECH LIMITED</t>
  </si>
  <si>
    <t>NEW REFRIGERATION &amp; GENERAL ELECTRICAL</t>
  </si>
  <si>
    <t>PEC LIMITED</t>
  </si>
  <si>
    <t>RAINPOWER SERVICE AS</t>
  </si>
  <si>
    <t>RAINBOW INVESTMENTS</t>
  </si>
  <si>
    <t>RAM INVESTMENT</t>
  </si>
  <si>
    <t>SUBSCRIPTION &amp; DONATIONS</t>
  </si>
  <si>
    <t>TANZANIA INSTITUTION OF ARBITRATORS</t>
  </si>
  <si>
    <t>UNIGLOBEX</t>
  </si>
  <si>
    <t>POWER MAGIC</t>
  </si>
  <si>
    <t>CMC</t>
  </si>
  <si>
    <t>SAHARA MEDIA GROUP</t>
  </si>
  <si>
    <t xml:space="preserve">AFRICA MEDIA </t>
  </si>
  <si>
    <t>SHREE  HINDU  MANDAL HOSPITAL</t>
  </si>
  <si>
    <t>EASY CONNECTIONS LIMITED</t>
  </si>
  <si>
    <t>CRS MISCELANEOUS DEPOSIT EXPENDITURE ELECTRONIC</t>
  </si>
  <si>
    <t>INFRATECH  LIMITED</t>
  </si>
  <si>
    <t xml:space="preserve">SATCOM                             </t>
  </si>
  <si>
    <t xml:space="preserve">SIMBA NET(T) LIMITED          </t>
  </si>
  <si>
    <t>FIRE AND RESCUE WARFARE FUND</t>
  </si>
  <si>
    <t>CLIMAX CONSTRUCTION</t>
  </si>
  <si>
    <t>NATIONAL CONTRACTING CO LTD</t>
  </si>
  <si>
    <t>ABSOLUTE PRINTING SERVICES LTD</t>
  </si>
  <si>
    <t>ANDOYA HYDRO ELECTRIC POWER CO. LTD</t>
  </si>
  <si>
    <t>DIN UTVIKLING CONSULTING AS  (NOK)</t>
  </si>
  <si>
    <t>A.C BRABYS (TANZANIA) LTD</t>
  </si>
  <si>
    <t>LAND RENT AND PROPERTY TAX</t>
  </si>
  <si>
    <t>COMMUNICATION,CABLES AND LICENCE</t>
  </si>
  <si>
    <t>YANGE SECURITY GUARDS CO. LTD</t>
  </si>
  <si>
    <t>JACOBSEN</t>
  </si>
  <si>
    <t>BUREAU FOR INDUSTRIAL COOPERATION (BICO)</t>
  </si>
  <si>
    <t>PANGANI BASIN WATER OFFICE</t>
  </si>
  <si>
    <t>TANZANIA PUBLIC SERVICE COLLEGE - TANGA CAMPUS</t>
  </si>
  <si>
    <t>ASM  COMMUNICATIONS &amp; TRAINING SOLUTIONS</t>
  </si>
  <si>
    <t>THE INSTITUTE OF INTERNAL AUDITORS TANZANIA</t>
  </si>
  <si>
    <t>JAMIX SOLUTIONS LIMITED</t>
  </si>
  <si>
    <t>CAPACITY BUILDING STRATEGY &amp; INNOVA. CONSULT</t>
  </si>
  <si>
    <t>UPENDO HEALTH CENTRE</t>
  </si>
  <si>
    <t>DIAMOND SECURITY LIMITED</t>
  </si>
  <si>
    <t xml:space="preserve">ENGINEERS REG. BOARD ( ERB ) </t>
  </si>
  <si>
    <t>PUBLIC PROCURE. REGULATORY AUTHO (PPRA)</t>
  </si>
  <si>
    <t>DEVELOPMENT REVENUE MISCELLANEOUS ACCOUNT</t>
  </si>
  <si>
    <t>UNITY SECURITY GROUP CO LTD</t>
  </si>
  <si>
    <t>EASTERN AFRICA POWER POOL ( EAPP )</t>
  </si>
  <si>
    <t>KIGEMU SECURITY SERVICES LTD</t>
  </si>
  <si>
    <t>LAKE TANGANYIKA BASIN WATER OFFICE</t>
  </si>
  <si>
    <t>EXECUTIVE TRAINING &amp; MANAGEMENT DEVELOP CENTRE (ACBF )</t>
  </si>
  <si>
    <t>THE INSTITUTE OF ENGINEERS TANZANIA ( IET )</t>
  </si>
  <si>
    <t>PRECISION PROFESSIONAL SERVICES &amp; ENGINEERING (PTY) LTD</t>
  </si>
  <si>
    <t>TANZANIA GLOBAL LEARNING AGENCY (TaGLA )</t>
  </si>
  <si>
    <t>AFRICAN SEC. &amp; CONSULT LTD</t>
  </si>
  <si>
    <t>DUWASA</t>
  </si>
  <si>
    <t>AAR HEALTHCARE</t>
  </si>
  <si>
    <t>NARARISA</t>
  </si>
  <si>
    <t>PLATINUM ELECTRONICS</t>
  </si>
  <si>
    <t>AFEMATE</t>
  </si>
  <si>
    <t>NDEKEN</t>
  </si>
  <si>
    <t>DST PROCESS SOLUTIONS LTD     (GBP)</t>
  </si>
  <si>
    <t>ITRON  MEASUREMENT AND SYSTEMS (PTY) LTD    (EURO)</t>
  </si>
  <si>
    <t>TCAA</t>
  </si>
  <si>
    <t>BRELA</t>
  </si>
  <si>
    <t>MARATHON COMMUNICATION  CO. LTD</t>
  </si>
  <si>
    <t>ESAMI</t>
  </si>
  <si>
    <t>PEAK PERFOMANCE INTERNATIONAL (T) LTD</t>
  </si>
  <si>
    <t>UNIVERSITY OF DSM COMPUTING CENTRE (UCC)</t>
  </si>
  <si>
    <t>PROJECTS- (FACILITATION COST TO MUNICIPAL &amp; COUNCILS)</t>
  </si>
  <si>
    <t>MUNICIPAL DIRECTOR - DODOMA</t>
  </si>
  <si>
    <t>MINISTRY OF LAND HOUSING &amp; HUMAN SETTLEMENTS DEVELOP</t>
  </si>
  <si>
    <t>RM  TANESCO TANGA IMPREST FUND A/C</t>
  </si>
  <si>
    <t>( INDIVIDUAL PAPs - LEMUGUR - ARUMERU, ARUSHA )-400/220/33KV SUBSTATION</t>
  </si>
  <si>
    <t>SECURITY CHARGES</t>
  </si>
  <si>
    <t>PROJECTS</t>
  </si>
  <si>
    <t>DED -SAME</t>
  </si>
  <si>
    <t>DED-RUVUMA</t>
  </si>
  <si>
    <t>MUNICIPAL DIRECTOR - ARUSHA</t>
  </si>
  <si>
    <t>COMFIX ENGINEERING</t>
  </si>
  <si>
    <t>TERAM ELECTROMACHENICAL CONTRACTORS LTD</t>
  </si>
  <si>
    <t>STEREO ESTATE CARES (T) LTD</t>
  </si>
  <si>
    <t>BUYUNGU GENERAL ENTERPRISES</t>
  </si>
  <si>
    <t>RZ ELECTRICAL TECH LTD</t>
  </si>
  <si>
    <t>GAIWEJA CONSTRUCTION LTD</t>
  </si>
  <si>
    <t>TELENERG</t>
  </si>
  <si>
    <t>ELARSA BUILDING CONTRACTORS LTD</t>
  </si>
  <si>
    <t>LEDGER PLAZA BAHARI BEACH</t>
  </si>
  <si>
    <t>GLOBAL ENERGY CONSULTING ENGINEERS</t>
  </si>
  <si>
    <t>COMMISSIONER FOR DOMESTIC REVENUE</t>
  </si>
  <si>
    <t>MINISTRY OF LANDS,HOUSING AND HUMAN SETTLEMENT DEVELOPMENT</t>
  </si>
  <si>
    <t>INTERLINK TRAVEL LIMITED                         USD</t>
  </si>
  <si>
    <t>INTERLINK TRAVEL LIMITED                       TSHS</t>
  </si>
  <si>
    <t>COSEKE TANZANIA LTD</t>
  </si>
  <si>
    <t>MUFINDI ENVIRONMENTAL TRUST</t>
  </si>
  <si>
    <t>GBP (AGGREKO AND NYAKATO FUEL)</t>
  </si>
  <si>
    <t>ORYX OIL(IPTL FUEL)</t>
  </si>
  <si>
    <t>GBP TANZANIA(AGGREKO  FUEL)</t>
  </si>
  <si>
    <t>ENVIRONMENT HEALTH</t>
  </si>
  <si>
    <t>POWER FIBER</t>
  </si>
  <si>
    <t xml:space="preserve"> IPTL OUTSTANDING </t>
  </si>
  <si>
    <t>ORYX OIL (IPTL FUEL )</t>
  </si>
  <si>
    <t>ANDOYA</t>
  </si>
  <si>
    <t>TULILA</t>
  </si>
  <si>
    <t>NAGAYA CONSTRUCTION LTD</t>
  </si>
  <si>
    <t>ELTEL GROUP OY</t>
  </si>
  <si>
    <t>HERKIN BUILDERS LIMITED</t>
  </si>
  <si>
    <t>DIAK TECHNICA;L EXPORT LIMITED            -USD</t>
  </si>
  <si>
    <t>QUALITY TRADE AND DISTRIBUTION LTD-USD</t>
  </si>
  <si>
    <t>WASION GROUP LIMITED                             USD</t>
  </si>
  <si>
    <t>MCC LAND RENT-MWANZA CITY COUNCIL</t>
  </si>
  <si>
    <t>HRS LAND SOLUTION LIMITED</t>
  </si>
  <si>
    <t>MUHEZA EXECUTIVE DIRECTOR</t>
  </si>
  <si>
    <t>DISTRIC LAND DEVELOPMENT</t>
  </si>
  <si>
    <t>MUNICIPAL DIRECTOR-ILALA MUNICIPAL COUNCIL</t>
  </si>
  <si>
    <t xml:space="preserve">PERMANENT SECRETARY OF LANDS,HOUSING  </t>
  </si>
  <si>
    <t>KAHAMA TOWN COUNCIL</t>
  </si>
  <si>
    <t>RAJ SURGICAL SUPPLIES</t>
  </si>
  <si>
    <t>MICO RABININSIA MEMORIAL HOSPITAL</t>
  </si>
  <si>
    <t>KINONDONI  HOSPITAL</t>
  </si>
  <si>
    <t>AFRICA MEDIA GROUP LTD</t>
  </si>
  <si>
    <t>FORTIS ATTONEYS</t>
  </si>
  <si>
    <t>NEW AFRICA HOTEL</t>
  </si>
  <si>
    <t>KUNDUCHI BEACH HOTEL</t>
  </si>
  <si>
    <t>KEN TEC DERNMARK</t>
  </si>
  <si>
    <t>TANZANIA BUILDING WORKS</t>
  </si>
  <si>
    <t>SENGEREMA ENGINEERING GROUP LTD</t>
  </si>
  <si>
    <t>ABB TANZANIA LTD</t>
  </si>
  <si>
    <t>CHAGE ENGINEERING WORKS</t>
  </si>
  <si>
    <t>NYATA CONTRUCTION LIMITED</t>
  </si>
  <si>
    <t>SONGORO MARINE TRANSPORT LTD</t>
  </si>
  <si>
    <t>MASCHINENFABRIK REINHAUSEN GmbH</t>
  </si>
  <si>
    <t>YOVI HYDRO POWER CO.</t>
  </si>
  <si>
    <t>SYMBION NEW CONTRACT</t>
  </si>
  <si>
    <t>SYMBION POWER LLC</t>
  </si>
  <si>
    <t>PROPOSED PAYMENT PLAN AS AT 19.02.2016</t>
  </si>
  <si>
    <t>TOTAL (T) LTD - ISOLATED FUEL</t>
  </si>
  <si>
    <t>SUMMARY OF OUTSTANDING AS AT 19.02.2016</t>
  </si>
  <si>
    <t>CAMEL OIL (NYAKATO &amp; OTHER THERMAL GEN)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</si>
</sst>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&quot;#,##0_);\(&quot;S&quot;#,##0\)"/>
    <numFmt numFmtId="165" formatCode="&quot;S&quot;#,##0_);[Red]\(&quot;S&quot;#,##0\)"/>
    <numFmt numFmtId="166" formatCode="&quot;S&quot;#,##0.00_);\(&quot;S&quot;#,##0.00\)"/>
    <numFmt numFmtId="167" formatCode="&quot;S&quot;#,##0.00_);[Red]\(&quot;S&quot;#,##0.00\)"/>
    <numFmt numFmtId="168" formatCode="_(&quot;S&quot;* #,##0_);_(&quot;S&quot;* \(#,##0\);_(&quot;S&quot;* &quot;-&quot;_);_(@_)"/>
    <numFmt numFmtId="169" formatCode="_(&quot;S&quot;* #,##0.00_);_(&quot;S&quot;* \(#,##0.00\);_(&quot;S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_);_(* \(#,##0\);_(* &quot;-&quot;??_);_(@_)"/>
    <numFmt numFmtId="180" formatCode="_(* #,##0.000_);_(* \(#,##0.000\);_(* &quot;-&quot;???_);_(@_)"/>
    <numFmt numFmtId="181" formatCode="_-* #,##0_-;\-* #,##0_-;_-* &quot;-&quot;??_-;_-@_-"/>
    <numFmt numFmtId="182" formatCode="_(* #,##0.0_);_(* \(#,##0.0\);_(* &quot;-&quot;??_);_(@_)"/>
    <numFmt numFmtId="183" formatCode="m/d/yy;@"/>
    <numFmt numFmtId="184" formatCode="dd/mm/yyyy;@"/>
    <numFmt numFmtId="185" formatCode="[$-3409]dd\-mmm\-yy;@"/>
    <numFmt numFmtId="186" formatCode="[$-409]dddd\,\ mmmm\ dd\,\ yyyy"/>
    <numFmt numFmtId="187" formatCode="[$-409]h:mm:&quot;S&quot;&quot;S&quot;\ AM/PM"/>
    <numFmt numFmtId="188" formatCode="mmm\-yyyy"/>
    <numFmt numFmtId="189" formatCode="_(* #,##0.0000_);_(* \(#,##0.0000\);_(* &quot;-&quot;??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10" xfId="83" applyFont="1" applyFill="1" applyBorder="1">
      <alignment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3" fontId="9" fillId="0" borderId="0" xfId="42" applyFont="1" applyFill="1" applyAlignment="1">
      <alignment/>
    </xf>
    <xf numFmtId="43" fontId="9" fillId="0" borderId="10" xfId="42" applyFont="1" applyFill="1" applyBorder="1" applyAlignment="1">
      <alignment/>
    </xf>
    <xf numFmtId="43" fontId="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7" fillId="0" borderId="0" xfId="42" applyFont="1" applyFill="1" applyAlignment="1">
      <alignment/>
    </xf>
    <xf numFmtId="43" fontId="7" fillId="33" borderId="11" xfId="42" applyFont="1" applyFill="1" applyBorder="1" applyAlignment="1">
      <alignment/>
    </xf>
    <xf numFmtId="0" fontId="7" fillId="0" borderId="10" xfId="0" applyFont="1" applyFill="1" applyBorder="1" applyAlignment="1">
      <alignment/>
    </xf>
    <xf numFmtId="43" fontId="11" fillId="0" borderId="0" xfId="44" applyFont="1" applyFill="1" applyAlignment="1">
      <alignment/>
    </xf>
    <xf numFmtId="43" fontId="12" fillId="0" borderId="0" xfId="44" applyFont="1" applyFill="1" applyAlignment="1">
      <alignment/>
    </xf>
    <xf numFmtId="43" fontId="11" fillId="0" borderId="10" xfId="44" applyFont="1" applyFill="1" applyBorder="1" applyAlignment="1">
      <alignment horizontal="center"/>
    </xf>
    <xf numFmtId="43" fontId="11" fillId="0" borderId="10" xfId="44" applyFont="1" applyFill="1" applyBorder="1" applyAlignment="1">
      <alignment/>
    </xf>
    <xf numFmtId="43" fontId="12" fillId="0" borderId="10" xfId="44" applyFont="1" applyFill="1" applyBorder="1" applyAlignment="1">
      <alignment/>
    </xf>
    <xf numFmtId="43" fontId="7" fillId="0" borderId="10" xfId="44" applyFont="1" applyFill="1" applyBorder="1" applyAlignment="1">
      <alignment/>
    </xf>
    <xf numFmtId="43" fontId="13" fillId="0" borderId="10" xfId="44" applyFont="1" applyFill="1" applyBorder="1" applyAlignment="1">
      <alignment/>
    </xf>
    <xf numFmtId="43" fontId="7" fillId="0" borderId="0" xfId="44" applyFont="1" applyFill="1" applyAlignment="1">
      <alignment/>
    </xf>
    <xf numFmtId="43" fontId="7" fillId="0" borderId="0" xfId="44" applyFont="1" applyFill="1" applyBorder="1" applyAlignment="1">
      <alignment/>
    </xf>
    <xf numFmtId="43" fontId="13" fillId="0" borderId="0" xfId="44" applyFont="1" applyFill="1" applyAlignment="1">
      <alignment/>
    </xf>
    <xf numFmtId="43" fontId="11" fillId="0" borderId="0" xfId="44" applyFont="1" applyFill="1" applyBorder="1" applyAlignment="1">
      <alignment/>
    </xf>
    <xf numFmtId="43" fontId="7" fillId="33" borderId="10" xfId="44" applyFont="1" applyFill="1" applyBorder="1" applyAlignment="1">
      <alignment/>
    </xf>
    <xf numFmtId="43" fontId="7" fillId="0" borderId="12" xfId="44" applyFont="1" applyFill="1" applyBorder="1" applyAlignment="1">
      <alignment/>
    </xf>
    <xf numFmtId="43" fontId="11" fillId="34" borderId="0" xfId="0" applyNumberFormat="1" applyFont="1" applyFill="1" applyAlignment="1">
      <alignment horizontal="center"/>
    </xf>
    <xf numFmtId="43" fontId="11" fillId="35" borderId="13" xfId="44" applyFont="1" applyFill="1" applyBorder="1" applyAlignment="1">
      <alignment/>
    </xf>
    <xf numFmtId="43" fontId="11" fillId="35" borderId="12" xfId="44" applyFont="1" applyFill="1" applyBorder="1" applyAlignment="1">
      <alignment/>
    </xf>
    <xf numFmtId="43" fontId="11" fillId="34" borderId="10" xfId="0" applyNumberFormat="1" applyFont="1" applyFill="1" applyBorder="1" applyAlignment="1">
      <alignment/>
    </xf>
    <xf numFmtId="43" fontId="7" fillId="34" borderId="10" xfId="0" applyNumberFormat="1" applyFont="1" applyFill="1" applyBorder="1" applyAlignment="1">
      <alignment/>
    </xf>
    <xf numFmtId="43" fontId="7" fillId="35" borderId="10" xfId="44" applyFont="1" applyFill="1" applyBorder="1" applyAlignment="1">
      <alignment/>
    </xf>
    <xf numFmtId="43" fontId="11" fillId="35" borderId="10" xfId="44" applyFont="1" applyFill="1" applyBorder="1" applyAlignment="1">
      <alignment/>
    </xf>
    <xf numFmtId="43" fontId="7" fillId="34" borderId="10" xfId="44" applyFont="1" applyFill="1" applyBorder="1" applyAlignment="1">
      <alignment/>
    </xf>
    <xf numFmtId="43" fontId="7" fillId="35" borderId="0" xfId="44" applyFont="1" applyFill="1" applyAlignment="1">
      <alignment/>
    </xf>
    <xf numFmtId="43" fontId="11" fillId="34" borderId="10" xfId="44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13" fillId="35" borderId="10" xfId="44" applyFont="1" applyFill="1" applyBorder="1" applyAlignment="1">
      <alignment/>
    </xf>
    <xf numFmtId="43" fontId="7" fillId="34" borderId="10" xfId="42" applyFont="1" applyFill="1" applyBorder="1" applyAlignment="1">
      <alignment/>
    </xf>
    <xf numFmtId="43" fontId="7" fillId="35" borderId="10" xfId="42" applyFont="1" applyFill="1" applyBorder="1" applyAlignment="1">
      <alignment/>
    </xf>
    <xf numFmtId="43" fontId="7" fillId="33" borderId="10" xfId="42" applyFont="1" applyFill="1" applyBorder="1" applyAlignment="1">
      <alignment/>
    </xf>
    <xf numFmtId="43" fontId="11" fillId="0" borderId="10" xfId="42" applyFont="1" applyFill="1" applyBorder="1" applyAlignment="1">
      <alignment/>
    </xf>
    <xf numFmtId="43" fontId="12" fillId="0" borderId="10" xfId="42" applyFont="1" applyFill="1" applyBorder="1" applyAlignment="1">
      <alignment/>
    </xf>
    <xf numFmtId="43" fontId="7" fillId="0" borderId="10" xfId="42" applyFont="1" applyFill="1" applyBorder="1" applyAlignment="1">
      <alignment/>
    </xf>
    <xf numFmtId="43" fontId="11" fillId="0" borderId="0" xfId="42" applyFont="1" applyFill="1" applyAlignment="1">
      <alignment/>
    </xf>
    <xf numFmtId="43" fontId="11" fillId="0" borderId="10" xfId="42" applyFont="1" applyFill="1" applyBorder="1" applyAlignment="1">
      <alignment horizontal="center"/>
    </xf>
    <xf numFmtId="43" fontId="7" fillId="0" borderId="14" xfId="42" applyFont="1" applyFill="1" applyBorder="1" applyAlignment="1">
      <alignment/>
    </xf>
    <xf numFmtId="43" fontId="7" fillId="35" borderId="12" xfId="42" applyFont="1" applyFill="1" applyBorder="1" applyAlignment="1">
      <alignment/>
    </xf>
    <xf numFmtId="43" fontId="13" fillId="0" borderId="10" xfId="42" applyFont="1" applyFill="1" applyBorder="1" applyAlignment="1">
      <alignment/>
    </xf>
    <xf numFmtId="43" fontId="11" fillId="35" borderId="10" xfId="44" applyFont="1" applyFill="1" applyBorder="1" applyAlignment="1">
      <alignment horizontal="center"/>
    </xf>
    <xf numFmtId="43" fontId="7" fillId="35" borderId="12" xfId="44" applyFont="1" applyFill="1" applyBorder="1" applyAlignment="1">
      <alignment/>
    </xf>
    <xf numFmtId="43" fontId="7" fillId="0" borderId="14" xfId="44" applyFont="1" applyFill="1" applyBorder="1" applyAlignment="1">
      <alignment/>
    </xf>
    <xf numFmtId="43" fontId="12" fillId="0" borderId="14" xfId="44" applyFont="1" applyFill="1" applyBorder="1" applyAlignment="1">
      <alignment/>
    </xf>
    <xf numFmtId="0" fontId="7" fillId="0" borderId="10" xfId="44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0" fontId="7" fillId="35" borderId="12" xfId="44" applyNumberFormat="1" applyFont="1" applyFill="1" applyBorder="1" applyAlignment="1">
      <alignment/>
    </xf>
    <xf numFmtId="0" fontId="7" fillId="35" borderId="10" xfId="44" applyNumberFormat="1" applyFont="1" applyFill="1" applyBorder="1" applyAlignment="1">
      <alignment/>
    </xf>
    <xf numFmtId="0" fontId="13" fillId="0" borderId="10" xfId="44" applyNumberFormat="1" applyFont="1" applyFill="1" applyBorder="1" applyAlignment="1">
      <alignment/>
    </xf>
    <xf numFmtId="0" fontId="7" fillId="0" borderId="0" xfId="44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7" fillId="36" borderId="10" xfId="44" applyFont="1" applyFill="1" applyBorder="1" applyAlignment="1">
      <alignment/>
    </xf>
    <xf numFmtId="43" fontId="7" fillId="37" borderId="10" xfId="42" applyFont="1" applyFill="1" applyBorder="1" applyAlignment="1">
      <alignment/>
    </xf>
    <xf numFmtId="43" fontId="7" fillId="38" borderId="10" xfId="42" applyFont="1" applyFill="1" applyBorder="1" applyAlignment="1">
      <alignment/>
    </xf>
    <xf numFmtId="43" fontId="11" fillId="36" borderId="0" xfId="42" applyFont="1" applyFill="1" applyBorder="1" applyAlignment="1">
      <alignment/>
    </xf>
    <xf numFmtId="43" fontId="11" fillId="0" borderId="14" xfId="44" applyFont="1" applyFill="1" applyBorder="1" applyAlignment="1">
      <alignment/>
    </xf>
    <xf numFmtId="43" fontId="11" fillId="0" borderId="14" xfId="42" applyFont="1" applyFill="1" applyBorder="1" applyAlignment="1">
      <alignment/>
    </xf>
    <xf numFmtId="0" fontId="7" fillId="0" borderId="14" xfId="44" applyNumberFormat="1" applyFont="1" applyFill="1" applyBorder="1" applyAlignment="1">
      <alignment/>
    </xf>
    <xf numFmtId="43" fontId="13" fillId="0" borderId="14" xfId="44" applyFont="1" applyFill="1" applyBorder="1" applyAlignment="1">
      <alignment/>
    </xf>
    <xf numFmtId="43" fontId="11" fillId="0" borderId="0" xfId="42" applyFont="1" applyFill="1" applyBorder="1" applyAlignment="1">
      <alignment/>
    </xf>
    <xf numFmtId="0" fontId="7" fillId="0" borderId="0" xfId="44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43" fontId="13" fillId="0" borderId="0" xfId="44" applyFont="1" applyFill="1" applyBorder="1" applyAlignment="1">
      <alignment/>
    </xf>
    <xf numFmtId="43" fontId="12" fillId="0" borderId="0" xfId="44" applyFont="1" applyFill="1" applyBorder="1" applyAlignment="1">
      <alignment/>
    </xf>
    <xf numFmtId="43" fontId="7" fillId="36" borderId="11" xfId="44" applyFont="1" applyFill="1" applyBorder="1" applyAlignment="1">
      <alignment/>
    </xf>
    <xf numFmtId="43" fontId="5" fillId="0" borderId="10" xfId="56" applyFont="1" applyFill="1" applyBorder="1" applyAlignment="1">
      <alignment horizontal="right"/>
    </xf>
    <xf numFmtId="43" fontId="5" fillId="0" borderId="10" xfId="56" applyFont="1" applyFill="1" applyBorder="1" applyAlignment="1">
      <alignment/>
    </xf>
    <xf numFmtId="43" fontId="10" fillId="0" borderId="10" xfId="53" applyFont="1" applyFill="1" applyBorder="1" applyAlignment="1">
      <alignment/>
    </xf>
    <xf numFmtId="43" fontId="7" fillId="0" borderId="10" xfId="56" applyFont="1" applyFill="1" applyBorder="1" applyAlignment="1">
      <alignment/>
    </xf>
    <xf numFmtId="43" fontId="2" fillId="0" borderId="10" xfId="44" applyFont="1" applyFill="1" applyBorder="1" applyAlignment="1">
      <alignment/>
    </xf>
    <xf numFmtId="43" fontId="7" fillId="36" borderId="10" xfId="42" applyFont="1" applyFill="1" applyBorder="1" applyAlignment="1">
      <alignment/>
    </xf>
    <xf numFmtId="43" fontId="7" fillId="36" borderId="10" xfId="42" applyFont="1" applyFill="1" applyBorder="1" applyAlignment="1">
      <alignment/>
    </xf>
    <xf numFmtId="43" fontId="13" fillId="36" borderId="10" xfId="44" applyFont="1" applyFill="1" applyBorder="1" applyAlignment="1">
      <alignment/>
    </xf>
    <xf numFmtId="43" fontId="7" fillId="37" borderId="10" xfId="44" applyFont="1" applyFill="1" applyBorder="1" applyAlignment="1">
      <alignment/>
    </xf>
    <xf numFmtId="43" fontId="7" fillId="38" borderId="10" xfId="44" applyFont="1" applyFill="1" applyBorder="1" applyAlignment="1">
      <alignment/>
    </xf>
    <xf numFmtId="43" fontId="11" fillId="36" borderId="11" xfId="44" applyFont="1" applyFill="1" applyBorder="1" applyAlignment="1">
      <alignment/>
    </xf>
    <xf numFmtId="43" fontId="13" fillId="36" borderId="11" xfId="44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43" fontId="9" fillId="0" borderId="0" xfId="42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43" fontId="13" fillId="0" borderId="10" xfId="53" applyFont="1" applyFill="1" applyBorder="1" applyAlignment="1">
      <alignment/>
    </xf>
    <xf numFmtId="43" fontId="13" fillId="0" borderId="10" xfId="42" applyFont="1" applyFill="1" applyBorder="1" applyAlignment="1">
      <alignment horizontal="center"/>
    </xf>
    <xf numFmtId="43" fontId="13" fillId="0" borderId="0" xfId="42" applyFont="1" applyFill="1" applyBorder="1" applyAlignment="1">
      <alignment horizontal="center"/>
    </xf>
    <xf numFmtId="43" fontId="7" fillId="0" borderId="10" xfId="53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2" fillId="0" borderId="10" xfId="53" applyFont="1" applyFill="1" applyBorder="1" applyAlignment="1">
      <alignment/>
    </xf>
    <xf numFmtId="43" fontId="9" fillId="0" borderId="10" xfId="53" applyFont="1" applyFill="1" applyBorder="1" applyAlignment="1">
      <alignment/>
    </xf>
    <xf numFmtId="43" fontId="9" fillId="0" borderId="0" xfId="42" applyFont="1" applyFill="1" applyBorder="1" applyAlignment="1">
      <alignment/>
    </xf>
    <xf numFmtId="43" fontId="13" fillId="0" borderId="10" xfId="0" applyNumberFormat="1" applyFont="1" applyFill="1" applyBorder="1" applyAlignment="1">
      <alignment/>
    </xf>
    <xf numFmtId="43" fontId="13" fillId="0" borderId="10" xfId="56" applyFont="1" applyFill="1" applyBorder="1" applyAlignment="1">
      <alignment/>
    </xf>
    <xf numFmtId="0" fontId="7" fillId="0" borderId="10" xfId="83" applyFont="1" applyFill="1" applyBorder="1">
      <alignment/>
      <protection/>
    </xf>
    <xf numFmtId="43" fontId="7" fillId="0" borderId="11" xfId="42" applyFont="1" applyFill="1" applyBorder="1" applyAlignment="1">
      <alignment/>
    </xf>
    <xf numFmtId="0" fontId="5" fillId="0" borderId="10" xfId="83" applyFont="1" applyFill="1" applyBorder="1" applyAlignment="1">
      <alignment horizontal="right"/>
      <protection/>
    </xf>
    <xf numFmtId="43" fontId="4" fillId="0" borderId="10" xfId="53" applyFont="1" applyFill="1" applyBorder="1" applyAlignment="1">
      <alignment/>
    </xf>
    <xf numFmtId="0" fontId="8" fillId="0" borderId="10" xfId="83" applyFont="1" applyFill="1" applyBorder="1">
      <alignment/>
      <protection/>
    </xf>
    <xf numFmtId="43" fontId="10" fillId="0" borderId="0" xfId="53" applyFont="1" applyFill="1" applyBorder="1" applyAlignment="1">
      <alignment/>
    </xf>
    <xf numFmtId="0" fontId="7" fillId="0" borderId="10" xfId="83" applyFont="1" applyFill="1" applyBorder="1" applyAlignment="1">
      <alignment horizontal="left"/>
      <protection/>
    </xf>
    <xf numFmtId="43" fontId="12" fillId="0" borderId="10" xfId="53" applyFont="1" applyFill="1" applyBorder="1" applyAlignment="1">
      <alignment/>
    </xf>
    <xf numFmtId="43" fontId="12" fillId="0" borderId="0" xfId="53" applyFont="1" applyFill="1" applyBorder="1" applyAlignment="1">
      <alignment/>
    </xf>
    <xf numFmtId="43" fontId="4" fillId="0" borderId="0" xfId="53" applyFont="1" applyFill="1" applyBorder="1" applyAlignment="1">
      <alignment/>
    </xf>
    <xf numFmtId="43" fontId="14" fillId="0" borderId="10" xfId="0" applyNumberFormat="1" applyFont="1" applyFill="1" applyBorder="1" applyAlignment="1">
      <alignment/>
    </xf>
    <xf numFmtId="43" fontId="7" fillId="36" borderId="0" xfId="44" applyFont="1" applyFill="1" applyBorder="1" applyAlignment="1">
      <alignment/>
    </xf>
    <xf numFmtId="0" fontId="55" fillId="0" borderId="13" xfId="0" applyFont="1" applyFill="1" applyBorder="1" applyAlignment="1">
      <alignment/>
    </xf>
    <xf numFmtId="43" fontId="55" fillId="0" borderId="10" xfId="42" applyFont="1" applyFill="1" applyBorder="1" applyAlignment="1">
      <alignment/>
    </xf>
    <xf numFmtId="43" fontId="9" fillId="0" borderId="0" xfId="42" applyFont="1" applyFill="1" applyBorder="1" applyAlignment="1">
      <alignment/>
    </xf>
    <xf numFmtId="177" fontId="9" fillId="0" borderId="0" xfId="42" applyNumberFormat="1" applyFont="1" applyAlignment="1">
      <alignment horizontal="right" vertical="top"/>
    </xf>
    <xf numFmtId="43" fontId="56" fillId="0" borderId="0" xfId="0" applyNumberFormat="1" applyFont="1" applyFill="1" applyAlignment="1">
      <alignment/>
    </xf>
    <xf numFmtId="43" fontId="7" fillId="36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7" fillId="36" borderId="14" xfId="44" applyFont="1" applyFill="1" applyBorder="1" applyAlignment="1">
      <alignment/>
    </xf>
    <xf numFmtId="43" fontId="7" fillId="36" borderId="12" xfId="44" applyFont="1" applyFill="1" applyBorder="1" applyAlignment="1">
      <alignment/>
    </xf>
    <xf numFmtId="43" fontId="7" fillId="36" borderId="15" xfId="44" applyFont="1" applyFill="1" applyBorder="1" applyAlignment="1">
      <alignment/>
    </xf>
    <xf numFmtId="43" fontId="11" fillId="0" borderId="10" xfId="44" applyFont="1" applyFill="1" applyBorder="1" applyAlignment="1">
      <alignment horizontal="right"/>
    </xf>
    <xf numFmtId="0" fontId="7" fillId="36" borderId="10" xfId="80" applyFont="1" applyFill="1" applyBorder="1">
      <alignment/>
      <protection/>
    </xf>
    <xf numFmtId="43" fontId="8" fillId="0" borderId="10" xfId="44" applyFont="1" applyFill="1" applyBorder="1" applyAlignment="1">
      <alignment horizontal="left" vertical="top"/>
    </xf>
    <xf numFmtId="43" fontId="7" fillId="33" borderId="10" xfId="48" applyFont="1" applyFill="1" applyBorder="1" applyAlignment="1">
      <alignment/>
    </xf>
    <xf numFmtId="43" fontId="7" fillId="38" borderId="10" xfId="48" applyFont="1" applyFill="1" applyBorder="1" applyAlignment="1">
      <alignment/>
    </xf>
    <xf numFmtId="43" fontId="11" fillId="33" borderId="0" xfId="44" applyFont="1" applyFill="1" applyBorder="1" applyAlignment="1">
      <alignment/>
    </xf>
    <xf numFmtId="43" fontId="11" fillId="33" borderId="0" xfId="44" applyFont="1" applyFill="1" applyAlignment="1">
      <alignment/>
    </xf>
    <xf numFmtId="4" fontId="7" fillId="0" borderId="10" xfId="81" applyNumberFormat="1" applyFont="1" applyFill="1" applyBorder="1">
      <alignment/>
      <protection/>
    </xf>
    <xf numFmtId="43" fontId="12" fillId="0" borderId="10" xfId="44" applyFont="1" applyFill="1" applyBorder="1" applyAlignment="1">
      <alignment horizontal="center"/>
    </xf>
    <xf numFmtId="43" fontId="13" fillId="0" borderId="10" xfId="44" applyFont="1" applyFill="1" applyBorder="1" applyAlignment="1">
      <alignment horizontal="center"/>
    </xf>
    <xf numFmtId="43" fontId="7" fillId="0" borderId="11" xfId="44" applyFont="1" applyFill="1" applyBorder="1" applyAlignment="1">
      <alignment/>
    </xf>
    <xf numFmtId="43" fontId="7" fillId="36" borderId="0" xfId="44" applyFont="1" applyFill="1" applyAlignment="1">
      <alignment/>
    </xf>
    <xf numFmtId="43" fontId="7" fillId="0" borderId="15" xfId="44" applyFont="1" applyFill="1" applyBorder="1" applyAlignment="1">
      <alignment/>
    </xf>
    <xf numFmtId="43" fontId="7" fillId="36" borderId="10" xfId="44" applyFont="1" applyFill="1" applyBorder="1" applyAlignment="1">
      <alignment/>
    </xf>
    <xf numFmtId="43" fontId="13" fillId="36" borderId="12" xfId="44" applyFont="1" applyFill="1" applyBorder="1" applyAlignment="1">
      <alignment/>
    </xf>
    <xf numFmtId="43" fontId="11" fillId="36" borderId="0" xfId="44" applyFont="1" applyFill="1" applyBorder="1" applyAlignment="1">
      <alignment/>
    </xf>
    <xf numFmtId="43" fontId="55" fillId="0" borderId="12" xfId="44" applyFont="1" applyBorder="1" applyAlignment="1">
      <alignment/>
    </xf>
    <xf numFmtId="43" fontId="55" fillId="0" borderId="10" xfId="44" applyFont="1" applyBorder="1" applyAlignment="1">
      <alignment/>
    </xf>
    <xf numFmtId="43" fontId="7" fillId="37" borderId="10" xfId="44" applyFont="1" applyFill="1" applyBorder="1" applyAlignment="1">
      <alignment horizontal="center"/>
    </xf>
    <xf numFmtId="43" fontId="13" fillId="0" borderId="10" xfId="48" applyFont="1" applyFill="1" applyBorder="1" applyAlignment="1">
      <alignment/>
    </xf>
    <xf numFmtId="43" fontId="11" fillId="36" borderId="10" xfId="44" applyFont="1" applyFill="1" applyBorder="1" applyAlignment="1">
      <alignment/>
    </xf>
    <xf numFmtId="43" fontId="12" fillId="36" borderId="10" xfId="44" applyFont="1" applyFill="1" applyBorder="1" applyAlignment="1">
      <alignment/>
    </xf>
    <xf numFmtId="43" fontId="7" fillId="0" borderId="10" xfId="47" applyFont="1" applyFill="1" applyBorder="1" applyAlignment="1">
      <alignment/>
    </xf>
    <xf numFmtId="43" fontId="7" fillId="37" borderId="10" xfId="47" applyFont="1" applyFill="1" applyBorder="1" applyAlignment="1">
      <alignment/>
    </xf>
    <xf numFmtId="43" fontId="7" fillId="38" borderId="10" xfId="47" applyFont="1" applyFill="1" applyBorder="1" applyAlignment="1">
      <alignment/>
    </xf>
    <xf numFmtId="43" fontId="7" fillId="36" borderId="10" xfId="47" applyFont="1" applyFill="1" applyBorder="1" applyAlignment="1">
      <alignment/>
    </xf>
    <xf numFmtId="43" fontId="13" fillId="36" borderId="10" xfId="47" applyFont="1" applyFill="1" applyBorder="1" applyAlignment="1">
      <alignment/>
    </xf>
    <xf numFmtId="43" fontId="2" fillId="36" borderId="10" xfId="47" applyFont="1" applyFill="1" applyBorder="1" applyAlignment="1">
      <alignment/>
    </xf>
    <xf numFmtId="43" fontId="7" fillId="37" borderId="10" xfId="64" applyFont="1" applyFill="1" applyBorder="1" applyAlignment="1">
      <alignment/>
    </xf>
    <xf numFmtId="43" fontId="7" fillId="38" borderId="10" xfId="64" applyFont="1" applyFill="1" applyBorder="1" applyAlignment="1">
      <alignment/>
    </xf>
    <xf numFmtId="43" fontId="7" fillId="36" borderId="11" xfId="47" applyFont="1" applyFill="1" applyBorder="1" applyAlignment="1">
      <alignment/>
    </xf>
    <xf numFmtId="43" fontId="7" fillId="36" borderId="0" xfId="47" applyFont="1" applyFill="1" applyBorder="1" applyAlignment="1">
      <alignment/>
    </xf>
    <xf numFmtId="43" fontId="13" fillId="36" borderId="11" xfId="47" applyFont="1" applyFill="1" applyBorder="1" applyAlignment="1">
      <alignment/>
    </xf>
    <xf numFmtId="43" fontId="13" fillId="37" borderId="10" xfId="47" applyFont="1" applyFill="1" applyBorder="1" applyAlignment="1">
      <alignment/>
    </xf>
    <xf numFmtId="43" fontId="7" fillId="36" borderId="11" xfId="46" applyFont="1" applyFill="1" applyBorder="1" applyAlignment="1">
      <alignment/>
    </xf>
    <xf numFmtId="43" fontId="7" fillId="37" borderId="10" xfId="46" applyFont="1" applyFill="1" applyBorder="1" applyAlignment="1">
      <alignment/>
    </xf>
    <xf numFmtId="43" fontId="7" fillId="38" borderId="10" xfId="46" applyFont="1" applyFill="1" applyBorder="1" applyAlignment="1">
      <alignment/>
    </xf>
    <xf numFmtId="43" fontId="7" fillId="36" borderId="10" xfId="46" applyFont="1" applyFill="1" applyBorder="1" applyAlignment="1">
      <alignment/>
    </xf>
    <xf numFmtId="43" fontId="7" fillId="36" borderId="15" xfId="46" applyFont="1" applyFill="1" applyBorder="1" applyAlignment="1">
      <alignment/>
    </xf>
    <xf numFmtId="43" fontId="7" fillId="36" borderId="16" xfId="46" applyFont="1" applyFill="1" applyBorder="1" applyAlignment="1">
      <alignment/>
    </xf>
    <xf numFmtId="43" fontId="13" fillId="37" borderId="10" xfId="46" applyFont="1" applyFill="1" applyBorder="1" applyAlignment="1">
      <alignment/>
    </xf>
    <xf numFmtId="43" fontId="13" fillId="38" borderId="10" xfId="46" applyFont="1" applyFill="1" applyBorder="1" applyAlignment="1">
      <alignment/>
    </xf>
    <xf numFmtId="43" fontId="13" fillId="36" borderId="10" xfId="46" applyFont="1" applyFill="1" applyBorder="1" applyAlignment="1">
      <alignment/>
    </xf>
    <xf numFmtId="43" fontId="7" fillId="36" borderId="14" xfId="46" applyFont="1" applyFill="1" applyBorder="1" applyAlignment="1">
      <alignment/>
    </xf>
    <xf numFmtId="43" fontId="7" fillId="37" borderId="11" xfId="46" applyFont="1" applyFill="1" applyBorder="1" applyAlignment="1">
      <alignment/>
    </xf>
    <xf numFmtId="43" fontId="13" fillId="36" borderId="11" xfId="46" applyFont="1" applyFill="1" applyBorder="1" applyAlignment="1">
      <alignment/>
    </xf>
    <xf numFmtId="43" fontId="55" fillId="0" borderId="10" xfId="48" applyFont="1" applyFill="1" applyBorder="1" applyAlignment="1">
      <alignment/>
    </xf>
    <xf numFmtId="43" fontId="55" fillId="36" borderId="10" xfId="48" applyFont="1" applyFill="1" applyBorder="1" applyAlignment="1">
      <alignment/>
    </xf>
    <xf numFmtId="43" fontId="11" fillId="36" borderId="10" xfId="48" applyFont="1" applyFill="1" applyBorder="1" applyAlignment="1">
      <alignment/>
    </xf>
    <xf numFmtId="43" fontId="7" fillId="37" borderId="10" xfId="48" applyFont="1" applyFill="1" applyBorder="1" applyAlignment="1">
      <alignment/>
    </xf>
    <xf numFmtId="43" fontId="7" fillId="0" borderId="10" xfId="48" applyFont="1" applyFill="1" applyBorder="1" applyAlignment="1">
      <alignment/>
    </xf>
    <xf numFmtId="43" fontId="7" fillId="0" borderId="0" xfId="48" applyFont="1" applyFill="1" applyAlignment="1">
      <alignment/>
    </xf>
    <xf numFmtId="43" fontId="7" fillId="36" borderId="10" xfId="48" applyFont="1" applyFill="1" applyBorder="1" applyAlignment="1">
      <alignment/>
    </xf>
    <xf numFmtId="43" fontId="12" fillId="0" borderId="10" xfId="48" applyFont="1" applyFill="1" applyBorder="1" applyAlignment="1">
      <alignment/>
    </xf>
    <xf numFmtId="43" fontId="7" fillId="36" borderId="11" xfId="46" applyFont="1" applyFill="1" applyBorder="1" applyAlignment="1">
      <alignment horizontal="left"/>
    </xf>
    <xf numFmtId="43" fontId="7" fillId="36" borderId="0" xfId="48" applyFont="1" applyFill="1" applyAlignment="1">
      <alignment/>
    </xf>
    <xf numFmtId="0" fontId="0" fillId="0" borderId="0" xfId="0" applyAlignment="1">
      <alignment shrinkToFit="1"/>
    </xf>
    <xf numFmtId="43" fontId="11" fillId="0" borderId="10" xfId="44" applyFont="1" applyFill="1" applyBorder="1" applyAlignment="1">
      <alignment wrapText="1"/>
    </xf>
    <xf numFmtId="43" fontId="11" fillId="36" borderId="10" xfId="64" applyFont="1" applyFill="1" applyBorder="1" applyAlignment="1">
      <alignment/>
    </xf>
    <xf numFmtId="43" fontId="7" fillId="33" borderId="10" xfId="64" applyFont="1" applyFill="1" applyBorder="1" applyAlignment="1">
      <alignment/>
    </xf>
    <xf numFmtId="43" fontId="13" fillId="33" borderId="10" xfId="64" applyFont="1" applyFill="1" applyBorder="1" applyAlignment="1">
      <alignment/>
    </xf>
    <xf numFmtId="43" fontId="7" fillId="36" borderId="14" xfId="64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43" fontId="7" fillId="0" borderId="10" xfId="46" applyFont="1" applyFill="1" applyBorder="1" applyAlignment="1">
      <alignment/>
    </xf>
    <xf numFmtId="43" fontId="0" fillId="0" borderId="0" xfId="42" applyFont="1" applyFill="1" applyAlignment="1">
      <alignment/>
    </xf>
    <xf numFmtId="43" fontId="9" fillId="0" borderId="0" xfId="0" applyNumberFormat="1" applyFont="1" applyFill="1" applyAlignment="1">
      <alignment/>
    </xf>
    <xf numFmtId="43" fontId="7" fillId="0" borderId="10" xfId="44" applyFont="1" applyFill="1" applyBorder="1" applyAlignment="1">
      <alignment wrapText="1"/>
    </xf>
    <xf numFmtId="43" fontId="7" fillId="36" borderId="0" xfId="46" applyFont="1" applyFill="1" applyAlignment="1">
      <alignment/>
    </xf>
    <xf numFmtId="0" fontId="7" fillId="0" borderId="10" xfId="82" applyFont="1" applyFill="1" applyBorder="1">
      <alignment/>
      <protection/>
    </xf>
    <xf numFmtId="43" fontId="13" fillId="0" borderId="10" xfId="46" applyFont="1" applyFill="1" applyBorder="1" applyAlignment="1">
      <alignment/>
    </xf>
    <xf numFmtId="43" fontId="2" fillId="36" borderId="10" xfId="44" applyFont="1" applyFill="1" applyBorder="1" applyAlignment="1">
      <alignment/>
    </xf>
    <xf numFmtId="43" fontId="12" fillId="36" borderId="10" xfId="46" applyFont="1" applyFill="1" applyBorder="1" applyAlignment="1">
      <alignment/>
    </xf>
    <xf numFmtId="43" fontId="7" fillId="0" borderId="10" xfId="44" applyFont="1" applyFill="1" applyBorder="1" applyAlignment="1">
      <alignment horizontal="left" wrapText="1"/>
    </xf>
    <xf numFmtId="43" fontId="0" fillId="0" borderId="0" xfId="42" applyFont="1" applyFill="1" applyAlignment="1">
      <alignment/>
    </xf>
    <xf numFmtId="43" fontId="7" fillId="36" borderId="17" xfId="44" applyFont="1" applyFill="1" applyBorder="1" applyAlignment="1">
      <alignment/>
    </xf>
    <xf numFmtId="43" fontId="55" fillId="0" borderId="0" xfId="44" applyFont="1" applyBorder="1" applyAlignment="1">
      <alignment/>
    </xf>
    <xf numFmtId="43" fontId="11" fillId="0" borderId="14" xfId="42" applyFont="1" applyFill="1" applyBorder="1" applyAlignment="1">
      <alignment horizontal="center"/>
    </xf>
    <xf numFmtId="43" fontId="11" fillId="0" borderId="13" xfId="42" applyFont="1" applyFill="1" applyBorder="1" applyAlignment="1">
      <alignment horizontal="center"/>
    </xf>
    <xf numFmtId="43" fontId="11" fillId="0" borderId="12" xfId="42" applyFont="1" applyFill="1" applyBorder="1" applyAlignment="1">
      <alignment horizontal="center"/>
    </xf>
    <xf numFmtId="4" fontId="11" fillId="0" borderId="0" xfId="44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43" fontId="15" fillId="0" borderId="14" xfId="53" applyFont="1" applyFill="1" applyBorder="1" applyAlignment="1">
      <alignment horizontal="left"/>
    </xf>
    <xf numFmtId="43" fontId="15" fillId="0" borderId="13" xfId="53" applyFont="1" applyFill="1" applyBorder="1" applyAlignment="1">
      <alignment horizontal="left"/>
    </xf>
    <xf numFmtId="43" fontId="15" fillId="0" borderId="12" xfId="53" applyFont="1" applyFill="1" applyBorder="1" applyAlignment="1">
      <alignment horizontal="left"/>
    </xf>
    <xf numFmtId="0" fontId="15" fillId="0" borderId="14" xfId="83" applyFont="1" applyFill="1" applyBorder="1" applyAlignment="1">
      <alignment horizontal="left"/>
      <protection/>
    </xf>
    <xf numFmtId="0" fontId="15" fillId="0" borderId="13" xfId="83" applyFont="1" applyFill="1" applyBorder="1" applyAlignment="1">
      <alignment horizontal="left"/>
      <protection/>
    </xf>
    <xf numFmtId="0" fontId="15" fillId="0" borderId="12" xfId="83" applyFont="1" applyFill="1" applyBorder="1" applyAlignment="1">
      <alignment horizontal="left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5" xfId="46"/>
    <cellStyle name="Comma 10 6" xfId="47"/>
    <cellStyle name="Comma 11" xfId="48"/>
    <cellStyle name="Comma 12" xfId="49"/>
    <cellStyle name="Comma 12 2" xfId="50"/>
    <cellStyle name="Comma 2" xfId="51"/>
    <cellStyle name="Comma 2 2" xfId="52"/>
    <cellStyle name="Comma 2 3" xfId="53"/>
    <cellStyle name="Comma 2 4" xfId="54"/>
    <cellStyle name="Comma 2 6" xfId="55"/>
    <cellStyle name="Comma 3" xfId="56"/>
    <cellStyle name="Comma 3 2" xfId="57"/>
    <cellStyle name="Comma 4" xfId="58"/>
    <cellStyle name="Comma 5" xfId="59"/>
    <cellStyle name="Comma 6" xfId="60"/>
    <cellStyle name="Comma 6 2" xfId="61"/>
    <cellStyle name="Comma 7" xfId="62"/>
    <cellStyle name="Comma 8" xfId="63"/>
    <cellStyle name="Comma 8 6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2" xfId="8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2" xfId="93"/>
    <cellStyle name="Percent 3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8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5"/>
  <sheetViews>
    <sheetView tabSelected="1" zoomScale="110" zoomScaleNormal="11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F1"/>
    </sheetView>
  </sheetViews>
  <sheetFormatPr defaultColWidth="9.140625" defaultRowHeight="15"/>
  <cols>
    <col min="1" max="1" width="50.57421875" style="7" customWidth="1"/>
    <col min="2" max="2" width="28.421875" style="7" bestFit="1" customWidth="1"/>
    <col min="3" max="3" width="22.8515625" style="7" bestFit="1" customWidth="1"/>
    <col min="4" max="4" width="19.57421875" style="7" bestFit="1" customWidth="1"/>
    <col min="5" max="5" width="3.421875" style="7" customWidth="1"/>
    <col min="6" max="6" width="28.421875" style="7" bestFit="1" customWidth="1"/>
    <col min="7" max="7" width="10.28125" style="7" customWidth="1"/>
    <col min="8" max="9" width="28.28125" style="7" customWidth="1"/>
    <col min="10" max="10" width="9.140625" style="7" customWidth="1"/>
    <col min="11" max="11" width="23.140625" style="188" customWidth="1"/>
    <col min="12" max="16384" width="9.140625" style="7" customWidth="1"/>
  </cols>
  <sheetData>
    <row r="1" spans="1:11" s="2" customFormat="1" ht="20.25">
      <c r="A1" s="204" t="s">
        <v>429</v>
      </c>
      <c r="B1" s="204"/>
      <c r="C1" s="204"/>
      <c r="D1" s="204"/>
      <c r="E1" s="204"/>
      <c r="F1" s="204"/>
      <c r="K1" s="4"/>
    </row>
    <row r="2" spans="1:11" s="2" customFormat="1" ht="15.75">
      <c r="A2" s="3"/>
      <c r="B2" s="84" t="s">
        <v>3</v>
      </c>
      <c r="C2" s="84" t="s">
        <v>2</v>
      </c>
      <c r="D2" s="85" t="s">
        <v>7</v>
      </c>
      <c r="E2" s="86"/>
      <c r="F2" s="84" t="s">
        <v>8</v>
      </c>
      <c r="K2" s="4"/>
    </row>
    <row r="3" spans="1:11" s="2" customFormat="1" ht="18">
      <c r="A3" s="205" t="s">
        <v>9</v>
      </c>
      <c r="B3" s="206"/>
      <c r="C3" s="206"/>
      <c r="D3" s="207"/>
      <c r="E3" s="87"/>
      <c r="F3" s="3"/>
      <c r="K3" s="4"/>
    </row>
    <row r="4" spans="1:11" s="2" customFormat="1" ht="14.25">
      <c r="A4" s="88" t="s">
        <v>125</v>
      </c>
      <c r="B4" s="89">
        <f>'PAYMENT PLAN'!B17</f>
        <v>10252321724</v>
      </c>
      <c r="C4" s="90">
        <f>'PAYMENT PLAN'!B16/2214.1</f>
        <v>8251484.1899999995</v>
      </c>
      <c r="D4" s="90"/>
      <c r="E4" s="91"/>
      <c r="F4" s="46">
        <f aca="true" t="shared" si="0" ref="F4:F9">B4+(C4*2214.1)+(D4*2425.91)</f>
        <v>28521932869.079</v>
      </c>
      <c r="K4" s="4"/>
    </row>
    <row r="5" spans="1:11" s="2" customFormat="1" ht="14.25">
      <c r="A5" s="92" t="s">
        <v>426</v>
      </c>
      <c r="B5" s="93">
        <f>'PAYMENT PLAN'!B34</f>
        <v>2544724600</v>
      </c>
      <c r="C5" s="89">
        <f>('PAYMENT PLAN'!B33)/2214.1+'PAYMENT PLAN'!B35/2214.1</f>
        <v>28475729.300328895</v>
      </c>
      <c r="D5" s="46"/>
      <c r="E5" s="94"/>
      <c r="F5" s="46">
        <f t="shared" si="0"/>
        <v>65592836843.85821</v>
      </c>
      <c r="K5" s="4"/>
    </row>
    <row r="6" spans="1:11" s="2" customFormat="1" ht="14.25">
      <c r="A6" s="16" t="s">
        <v>430</v>
      </c>
      <c r="B6" s="75"/>
      <c r="C6" s="75">
        <f>'PAYMENT PLAN'!B38/2214.1</f>
        <v>5228130.44</v>
      </c>
      <c r="D6" s="46"/>
      <c r="E6" s="94"/>
      <c r="F6" s="46">
        <f t="shared" si="0"/>
        <v>11575603607.204</v>
      </c>
      <c r="K6" s="4"/>
    </row>
    <row r="7" spans="1:11" s="2" customFormat="1" ht="14.25">
      <c r="A7" s="75" t="s">
        <v>393</v>
      </c>
      <c r="B7" s="75"/>
      <c r="C7" s="75">
        <f>'PAYMENT PLAN'!B39/2214.1</f>
        <v>0</v>
      </c>
      <c r="D7" s="46"/>
      <c r="E7" s="94"/>
      <c r="F7" s="46">
        <f t="shared" si="0"/>
        <v>0</v>
      </c>
      <c r="K7" s="4"/>
    </row>
    <row r="8" spans="1:11" s="2" customFormat="1" ht="14.25">
      <c r="A8" s="75" t="s">
        <v>179</v>
      </c>
      <c r="B8" s="75">
        <f>'PAYMENT PLAN'!B41</f>
        <v>19508413746</v>
      </c>
      <c r="C8" s="75"/>
      <c r="D8" s="46"/>
      <c r="E8" s="94"/>
      <c r="F8" s="46">
        <f t="shared" si="0"/>
        <v>19508413746</v>
      </c>
      <c r="K8" s="4"/>
    </row>
    <row r="9" spans="1:11" s="2" customFormat="1" ht="14.25">
      <c r="A9" s="75" t="s">
        <v>389</v>
      </c>
      <c r="B9" s="75">
        <f>'PAYMENT PLAN'!B40</f>
        <v>49062145866</v>
      </c>
      <c r="C9" s="75"/>
      <c r="D9" s="46"/>
      <c r="E9" s="94"/>
      <c r="F9" s="46">
        <f t="shared" si="0"/>
        <v>49062145866</v>
      </c>
      <c r="K9" s="4"/>
    </row>
    <row r="10" spans="1:11" s="2" customFormat="1" ht="15.75">
      <c r="A10" s="72" t="s">
        <v>10</v>
      </c>
      <c r="B10" s="73">
        <f>SUM(B4:B9)</f>
        <v>81367605936</v>
      </c>
      <c r="C10" s="73">
        <f>SUM(C4:C9)</f>
        <v>41955343.93032889</v>
      </c>
      <c r="D10" s="73">
        <f>SUM(D4:D9)</f>
        <v>0</v>
      </c>
      <c r="E10" s="95"/>
      <c r="F10" s="40">
        <f>SUM(F4:F9)</f>
        <v>174260932932.1412</v>
      </c>
      <c r="H10" s="189"/>
      <c r="I10" s="189"/>
      <c r="K10" s="4"/>
    </row>
    <row r="11" spans="1:11" s="2" customFormat="1" ht="12.75">
      <c r="A11" s="97"/>
      <c r="B11" s="98"/>
      <c r="C11" s="98"/>
      <c r="D11" s="5"/>
      <c r="E11" s="99"/>
      <c r="F11" s="6"/>
      <c r="K11" s="4"/>
    </row>
    <row r="12" spans="1:11" s="2" customFormat="1" ht="18">
      <c r="A12" s="208" t="s">
        <v>11</v>
      </c>
      <c r="B12" s="209"/>
      <c r="C12" s="209"/>
      <c r="D12" s="210"/>
      <c r="E12" s="99"/>
      <c r="F12" s="6"/>
      <c r="H12" s="189"/>
      <c r="I12" s="189"/>
      <c r="K12" s="4"/>
    </row>
    <row r="13" spans="1:11" s="2" customFormat="1" ht="14.25">
      <c r="A13" s="114" t="s">
        <v>392</v>
      </c>
      <c r="B13" s="115">
        <f>'PAYMENT PLAN'!B44+'PAYMENT PLAN'!B45</f>
        <v>125374439058.65</v>
      </c>
      <c r="C13" s="115"/>
      <c r="D13" s="115"/>
      <c r="E13" s="116"/>
      <c r="F13" s="46">
        <f>B13+(C13*2214.1)+(D13*2425.91)</f>
        <v>125374439058.65</v>
      </c>
      <c r="H13" s="189"/>
      <c r="I13" s="189"/>
      <c r="K13" s="4"/>
    </row>
    <row r="14" spans="1:11" s="2" customFormat="1" ht="14.25">
      <c r="A14" s="92" t="s">
        <v>4</v>
      </c>
      <c r="B14" s="46">
        <f>'PAYMENT PLAN'!B18</f>
        <v>450976419.55</v>
      </c>
      <c r="C14" s="46"/>
      <c r="D14" s="46"/>
      <c r="E14" s="94"/>
      <c r="F14" s="46">
        <f aca="true" t="shared" si="1" ref="F14:F29">B14+(C14*2214.1)+(D14*2425.91)</f>
        <v>450976419.55</v>
      </c>
      <c r="G14" s="4"/>
      <c r="K14" s="4"/>
    </row>
    <row r="15" spans="1:11" s="2" customFormat="1" ht="14.25">
      <c r="A15" s="92" t="s">
        <v>12</v>
      </c>
      <c r="B15" s="89"/>
      <c r="C15" s="89">
        <f>'PAYMENT PLAN'!B19/2214.1</f>
        <v>1907056.98</v>
      </c>
      <c r="D15" s="46"/>
      <c r="E15" s="94"/>
      <c r="F15" s="46">
        <f t="shared" si="1"/>
        <v>4222414859.4179997</v>
      </c>
      <c r="H15" s="189"/>
      <c r="I15" s="189"/>
      <c r="K15" s="4"/>
    </row>
    <row r="16" spans="1:11" s="2" customFormat="1" ht="14.25">
      <c r="A16" s="92" t="s">
        <v>5</v>
      </c>
      <c r="B16" s="89"/>
      <c r="C16" s="89">
        <f>'PAYMENT PLAN'!B21/2214.1</f>
        <v>549039.71</v>
      </c>
      <c r="D16" s="46"/>
      <c r="E16" s="94"/>
      <c r="F16" s="46">
        <f t="shared" si="1"/>
        <v>1215628821.9109998</v>
      </c>
      <c r="K16" s="4"/>
    </row>
    <row r="17" spans="1:11" s="2" customFormat="1" ht="14.25">
      <c r="A17" s="92" t="s">
        <v>394</v>
      </c>
      <c r="B17" s="89">
        <f>'PAYMENT PLAN'!B30</f>
        <v>0</v>
      </c>
      <c r="C17" s="89"/>
      <c r="D17" s="46"/>
      <c r="E17" s="94"/>
      <c r="F17" s="46">
        <f t="shared" si="1"/>
        <v>0</v>
      </c>
      <c r="K17" s="4"/>
    </row>
    <row r="18" spans="1:11" s="2" customFormat="1" ht="14.25">
      <c r="A18" s="92" t="s">
        <v>395</v>
      </c>
      <c r="B18" s="89">
        <f>'PAYMENT PLAN'!B31</f>
        <v>0</v>
      </c>
      <c r="C18" s="89"/>
      <c r="D18" s="46"/>
      <c r="E18" s="94"/>
      <c r="F18" s="46">
        <f t="shared" si="1"/>
        <v>0</v>
      </c>
      <c r="K18" s="4"/>
    </row>
    <row r="19" spans="1:11" s="2" customFormat="1" ht="14.25">
      <c r="A19" s="134" t="s">
        <v>424</v>
      </c>
      <c r="B19" s="89">
        <f>'PAYMENT PLAN'!B32</f>
        <v>0</v>
      </c>
      <c r="C19" s="89"/>
      <c r="D19" s="46"/>
      <c r="E19" s="94"/>
      <c r="F19" s="46">
        <f>B19+(C19*2214.1)+(D19*2425.91)</f>
        <v>0</v>
      </c>
      <c r="K19" s="4"/>
    </row>
    <row r="20" spans="1:11" s="2" customFormat="1" ht="14.25">
      <c r="A20" s="92" t="s">
        <v>13</v>
      </c>
      <c r="B20" s="89"/>
      <c r="C20" s="89">
        <f>'PAYMENT PLAN'!B20/2214.1</f>
        <v>149562.34</v>
      </c>
      <c r="D20" s="46"/>
      <c r="E20" s="94"/>
      <c r="F20" s="46">
        <f t="shared" si="1"/>
        <v>331145976.99399996</v>
      </c>
      <c r="K20" s="4"/>
    </row>
    <row r="21" spans="1:11" s="2" customFormat="1" ht="14.25">
      <c r="A21" s="92" t="s">
        <v>14</v>
      </c>
      <c r="B21" s="89"/>
      <c r="C21" s="89">
        <f>('PAYMENT PLAN'!B22+'PAYMENT PLAN'!B23)/2214.1</f>
        <v>97032769.78831536</v>
      </c>
      <c r="D21" s="46"/>
      <c r="E21" s="94"/>
      <c r="F21" s="46">
        <f t="shared" si="1"/>
        <v>214840255588.30902</v>
      </c>
      <c r="K21" s="4"/>
    </row>
    <row r="22" spans="1:11" s="2" customFormat="1" ht="14.25">
      <c r="A22" s="119" t="s">
        <v>148</v>
      </c>
      <c r="B22" s="89">
        <f>'PAYMENT PLAN'!B29</f>
        <v>0</v>
      </c>
      <c r="C22" s="89"/>
      <c r="D22" s="46"/>
      <c r="E22" s="94"/>
      <c r="F22" s="46">
        <f t="shared" si="1"/>
        <v>0</v>
      </c>
      <c r="K22" s="4"/>
    </row>
    <row r="23" spans="1:11" s="2" customFormat="1" ht="14.25">
      <c r="A23" s="102" t="s">
        <v>15</v>
      </c>
      <c r="B23" s="89">
        <f>'PAYMENT PLAN'!B46</f>
        <v>92167611</v>
      </c>
      <c r="C23" s="89"/>
      <c r="D23" s="46"/>
      <c r="E23" s="94"/>
      <c r="F23" s="46">
        <f t="shared" si="1"/>
        <v>92167611</v>
      </c>
      <c r="K23" s="4"/>
    </row>
    <row r="24" spans="1:11" s="2" customFormat="1" ht="14.25">
      <c r="A24" s="10" t="s">
        <v>42</v>
      </c>
      <c r="B24" s="89">
        <f>'PAYMENT PLAN'!B43</f>
        <v>29298110.1</v>
      </c>
      <c r="C24" s="89"/>
      <c r="D24" s="46">
        <f>'PAYMENT PLAN'!B42/2425.91</f>
        <v>2063470.6800000002</v>
      </c>
      <c r="E24" s="94"/>
      <c r="F24" s="46">
        <f t="shared" si="1"/>
        <v>5035092267.4188</v>
      </c>
      <c r="K24" s="4"/>
    </row>
    <row r="25" spans="1:11" s="2" customFormat="1" ht="14.25">
      <c r="A25" s="103" t="s">
        <v>120</v>
      </c>
      <c r="B25" s="89">
        <f>'PAYMENT PLAN'!B28</f>
        <v>0</v>
      </c>
      <c r="C25" s="89"/>
      <c r="D25" s="46"/>
      <c r="E25" s="94"/>
      <c r="F25" s="46">
        <f t="shared" si="1"/>
        <v>0</v>
      </c>
      <c r="K25" s="4"/>
    </row>
    <row r="26" spans="1:11" s="2" customFormat="1" ht="14.25">
      <c r="A26" s="75" t="s">
        <v>149</v>
      </c>
      <c r="B26" s="101"/>
      <c r="C26" s="101">
        <f>('PAYMENT PLAN'!B36+'PAYMENT PLAN'!B37)/2214.1</f>
        <v>77752775.19796716</v>
      </c>
      <c r="D26" s="46"/>
      <c r="E26" s="94"/>
      <c r="F26" s="46">
        <f t="shared" si="1"/>
        <v>172152419565.81906</v>
      </c>
      <c r="K26" s="4"/>
    </row>
    <row r="27" spans="1:11" s="2" customFormat="1" ht="14.25">
      <c r="A27" s="103" t="s">
        <v>150</v>
      </c>
      <c r="B27" s="89">
        <f>'PAYMENT PLAN'!B26</f>
        <v>4315424520.608</v>
      </c>
      <c r="C27" s="89"/>
      <c r="D27" s="46"/>
      <c r="E27" s="94"/>
      <c r="F27" s="46">
        <f t="shared" si="1"/>
        <v>4315424520.608</v>
      </c>
      <c r="K27" s="4"/>
    </row>
    <row r="28" spans="1:11" s="2" customFormat="1" ht="14.25">
      <c r="A28" s="103" t="s">
        <v>325</v>
      </c>
      <c r="B28" s="89">
        <f>'PAYMENT PLAN'!B24</f>
        <v>549065935.4460001</v>
      </c>
      <c r="C28" s="89"/>
      <c r="D28" s="46"/>
      <c r="E28" s="94"/>
      <c r="F28" s="46">
        <f t="shared" si="1"/>
        <v>549065935.4460001</v>
      </c>
      <c r="K28" s="4"/>
    </row>
    <row r="29" spans="1:11" s="2" customFormat="1" ht="18" customHeight="1">
      <c r="A29" s="10" t="s">
        <v>151</v>
      </c>
      <c r="B29" s="89">
        <f>'PAYMENT PLAN'!B27</f>
        <v>22404035380.105</v>
      </c>
      <c r="C29" s="89"/>
      <c r="D29" s="46"/>
      <c r="E29" s="94"/>
      <c r="F29" s="46">
        <f t="shared" si="1"/>
        <v>22404035380.105</v>
      </c>
      <c r="K29" s="4">
        <f>F30-F13-F21-F26</f>
        <v>38615951792.450775</v>
      </c>
    </row>
    <row r="30" spans="1:11" s="2" customFormat="1" ht="15.75">
      <c r="A30" s="103"/>
      <c r="B30" s="105">
        <f>SUM(B13:B29)</f>
        <v>153215407035.459</v>
      </c>
      <c r="C30" s="105">
        <f>SUM(C13:C29)</f>
        <v>177391204.0162825</v>
      </c>
      <c r="D30" s="105">
        <f>SUM(D13:D29)</f>
        <v>2063470.6800000002</v>
      </c>
      <c r="E30" s="94"/>
      <c r="F30" s="40">
        <f>SUM(F13:F29)</f>
        <v>550983066005.2289</v>
      </c>
      <c r="K30" s="4">
        <f>F58-F10-F30-F38-F41</f>
        <v>27394838168.7856</v>
      </c>
    </row>
    <row r="31" spans="1:11" s="2" customFormat="1" ht="12.75">
      <c r="A31" s="106"/>
      <c r="B31" s="74"/>
      <c r="C31" s="74"/>
      <c r="D31" s="74"/>
      <c r="E31" s="107"/>
      <c r="F31" s="6"/>
      <c r="K31" s="4"/>
    </row>
    <row r="32" spans="1:11" s="2" customFormat="1" ht="18">
      <c r="A32" s="211" t="s">
        <v>126</v>
      </c>
      <c r="B32" s="212"/>
      <c r="C32" s="212"/>
      <c r="D32" s="213"/>
      <c r="E32" s="107"/>
      <c r="F32" s="6"/>
      <c r="K32" s="4"/>
    </row>
    <row r="33" spans="1:11" s="2" customFormat="1" ht="15">
      <c r="A33" s="108" t="s">
        <v>115</v>
      </c>
      <c r="B33" s="109"/>
      <c r="C33" s="89">
        <f>'PAYMENT PLAN'!B56/2214.1</f>
        <v>988500.0135495235</v>
      </c>
      <c r="D33" s="109"/>
      <c r="E33" s="110"/>
      <c r="F33" s="100">
        <f>B33+(C33*2214.1)+(D33*2425.91)</f>
        <v>2188637880</v>
      </c>
      <c r="K33" s="4"/>
    </row>
    <row r="34" spans="1:11" s="2" customFormat="1" ht="15">
      <c r="A34" s="102" t="s">
        <v>112</v>
      </c>
      <c r="B34" s="109"/>
      <c r="C34" s="89">
        <f>'PAYMENT PLAN'!B57/2160.08</f>
        <v>0</v>
      </c>
      <c r="D34" s="109"/>
      <c r="E34" s="110"/>
      <c r="F34" s="100">
        <f>B34+(C34*2214.1)+(D34*2425.91)</f>
        <v>0</v>
      </c>
      <c r="K34" s="4"/>
    </row>
    <row r="35" spans="1:11" s="2" customFormat="1" ht="15">
      <c r="A35" s="102" t="s">
        <v>113</v>
      </c>
      <c r="B35" s="89"/>
      <c r="C35" s="89"/>
      <c r="D35" s="109"/>
      <c r="E35" s="110"/>
      <c r="F35" s="100">
        <f>B35+(C35*2214.1)+(D35*2425.91)</f>
        <v>0</v>
      </c>
      <c r="K35" s="4"/>
    </row>
    <row r="36" spans="1:11" s="2" customFormat="1" ht="15">
      <c r="A36" s="102" t="s">
        <v>127</v>
      </c>
      <c r="B36" s="89"/>
      <c r="C36" s="89"/>
      <c r="D36" s="109"/>
      <c r="E36" s="110"/>
      <c r="F36" s="100">
        <f>B36+(C36*2214.1)+(D36*2425.91)</f>
        <v>0</v>
      </c>
      <c r="K36" s="4"/>
    </row>
    <row r="37" spans="1:11" s="2" customFormat="1" ht="15">
      <c r="A37" s="102" t="s">
        <v>128</v>
      </c>
      <c r="B37" s="89">
        <f>'PAYMENT PLAN'!B50+'PAYMENT PLAN'!B51+'PAYMENT PLAN'!B52</f>
        <v>3456731138.6070004</v>
      </c>
      <c r="C37" s="89"/>
      <c r="D37" s="109"/>
      <c r="E37" s="110"/>
      <c r="F37" s="100">
        <f>B37+(C37*2214.1)+(D37*2425.91)</f>
        <v>3456731138.6070004</v>
      </c>
      <c r="K37" s="4"/>
    </row>
    <row r="38" spans="1:11" s="2" customFormat="1" ht="15.75">
      <c r="A38" s="104" t="s">
        <v>10</v>
      </c>
      <c r="B38" s="105">
        <f>SUM(B33:B37)</f>
        <v>3456731138.6070004</v>
      </c>
      <c r="C38" s="105">
        <f>SUM(C33:C37)</f>
        <v>988500.0135495235</v>
      </c>
      <c r="D38" s="105">
        <f>SUM(D33:D37)</f>
        <v>0</v>
      </c>
      <c r="E38" s="110"/>
      <c r="F38" s="96">
        <f>SUM(F33:F37)</f>
        <v>5645369018.607</v>
      </c>
      <c r="K38" s="4"/>
    </row>
    <row r="39" spans="1:11" s="2" customFormat="1" ht="15">
      <c r="A39" s="102"/>
      <c r="B39" s="89"/>
      <c r="C39" s="109"/>
      <c r="D39" s="109"/>
      <c r="E39" s="110"/>
      <c r="F39" s="100"/>
      <c r="K39" s="4"/>
    </row>
    <row r="40" spans="1:11" s="2" customFormat="1" ht="15">
      <c r="A40" s="102"/>
      <c r="B40" s="89"/>
      <c r="C40" s="109"/>
      <c r="D40" s="109"/>
      <c r="E40" s="110"/>
      <c r="F40" s="100"/>
      <c r="K40" s="4"/>
    </row>
    <row r="41" spans="1:11" s="2" customFormat="1" ht="15.75">
      <c r="A41" s="106" t="s">
        <v>129</v>
      </c>
      <c r="B41" s="105">
        <f>'PAYMENT PLAN'!B89</f>
        <v>7449501965.427101</v>
      </c>
      <c r="C41" s="105"/>
      <c r="D41" s="105"/>
      <c r="E41" s="111"/>
      <c r="F41" s="96">
        <f>B41+(C41*2214.1)+(D41*2425.91)</f>
        <v>7449501965.427101</v>
      </c>
      <c r="K41" s="4"/>
    </row>
    <row r="42" spans="1:11" s="2" customFormat="1" ht="15">
      <c r="A42" s="1"/>
      <c r="B42" s="89"/>
      <c r="C42" s="109"/>
      <c r="D42" s="109"/>
      <c r="E42" s="110"/>
      <c r="F42" s="100"/>
      <c r="K42" s="4"/>
    </row>
    <row r="43" spans="1:11" s="2" customFormat="1" ht="15.75">
      <c r="A43" s="106" t="s">
        <v>222</v>
      </c>
      <c r="B43" s="105">
        <f>'PAYMENT PLAN'!B177+'PAYMENT PLAN'!B108</f>
        <v>2505960907.43</v>
      </c>
      <c r="C43" s="105"/>
      <c r="D43" s="105"/>
      <c r="E43" s="111"/>
      <c r="F43" s="96">
        <f>B43+(C43*2214.1)+(D43*2425.91)</f>
        <v>2505960907.43</v>
      </c>
      <c r="K43" s="4"/>
    </row>
    <row r="44" spans="1:11" s="2" customFormat="1" ht="15.75">
      <c r="A44" s="102"/>
      <c r="B44" s="89"/>
      <c r="C44" s="109"/>
      <c r="D44" s="109"/>
      <c r="E44" s="110"/>
      <c r="F44" s="96"/>
      <c r="K44" s="4"/>
    </row>
    <row r="45" spans="1:11" s="2" customFormat="1" ht="15.75">
      <c r="A45" s="126" t="s">
        <v>217</v>
      </c>
      <c r="B45" s="89">
        <f>'PAYMENT PLAN'!B198+'PAYMENT PLAN'!B447</f>
        <v>1521996172.81</v>
      </c>
      <c r="C45" s="109"/>
      <c r="D45" s="109"/>
      <c r="E45" s="110"/>
      <c r="F45" s="96">
        <f aca="true" t="shared" si="2" ref="F45:F54">B45+(C45*2214.1)+(D45*2425.91)</f>
        <v>1521996172.81</v>
      </c>
      <c r="K45" s="4"/>
    </row>
    <row r="46" spans="1:11" s="2" customFormat="1" ht="15.75">
      <c r="A46" s="126" t="s">
        <v>221</v>
      </c>
      <c r="B46" s="89">
        <f>'PAYMENT PLAN'!B405</f>
        <v>2120957268.9099998</v>
      </c>
      <c r="C46" s="109"/>
      <c r="D46" s="109"/>
      <c r="E46" s="110"/>
      <c r="F46" s="96">
        <f t="shared" si="2"/>
        <v>2120957268.9099998</v>
      </c>
      <c r="K46" s="4"/>
    </row>
    <row r="47" spans="1:11" s="2" customFormat="1" ht="15.75">
      <c r="A47" s="126" t="s">
        <v>218</v>
      </c>
      <c r="B47" s="89">
        <f>'PAYMENT PLAN'!B224</f>
        <v>400043738.17</v>
      </c>
      <c r="C47" s="109"/>
      <c r="D47" s="109"/>
      <c r="E47" s="110"/>
      <c r="F47" s="96">
        <f t="shared" si="2"/>
        <v>400043738.17</v>
      </c>
      <c r="K47" s="4"/>
    </row>
    <row r="48" spans="1:11" s="2" customFormat="1" ht="15.75">
      <c r="A48" s="126" t="s">
        <v>219</v>
      </c>
      <c r="B48" s="89">
        <f>'PAYMENT PLAN'!B264+'PAYMENT PLAN'!B296+'PAYMENT PLAN'!B302+'PAYMENT PLAN'!B309</f>
        <v>2150239729.54</v>
      </c>
      <c r="C48" s="109"/>
      <c r="D48" s="109"/>
      <c r="E48" s="110"/>
      <c r="F48" s="96">
        <f t="shared" si="2"/>
        <v>2150239729.54</v>
      </c>
      <c r="K48" s="4"/>
    </row>
    <row r="49" spans="1:11" s="2" customFormat="1" ht="15.75">
      <c r="A49" s="126" t="s">
        <v>367</v>
      </c>
      <c r="B49" s="89">
        <f>'PAYMENT PLAN'!B347</f>
        <v>3061976326.25</v>
      </c>
      <c r="C49" s="109"/>
      <c r="D49" s="109"/>
      <c r="E49" s="110"/>
      <c r="F49" s="96">
        <f t="shared" si="2"/>
        <v>3061976326.25</v>
      </c>
      <c r="K49" s="4"/>
    </row>
    <row r="50" spans="1:11" s="2" customFormat="1" ht="15.75">
      <c r="A50" s="126" t="s">
        <v>220</v>
      </c>
      <c r="B50" s="89">
        <f>'PAYMENT PLAN'!B254</f>
        <v>6715763572.9915</v>
      </c>
      <c r="C50" s="109"/>
      <c r="D50" s="109"/>
      <c r="E50" s="110"/>
      <c r="F50" s="96">
        <f t="shared" si="2"/>
        <v>6715763572.9915</v>
      </c>
      <c r="K50" s="4"/>
    </row>
    <row r="51" spans="1:11" s="2" customFormat="1" ht="15.75">
      <c r="A51" s="126" t="s">
        <v>251</v>
      </c>
      <c r="B51" s="89">
        <f>'PAYMENT PLAN'!B284</f>
        <v>1889711349.7</v>
      </c>
      <c r="C51" s="109"/>
      <c r="D51" s="109"/>
      <c r="E51" s="110"/>
      <c r="F51" s="96">
        <f t="shared" si="2"/>
        <v>1889711349.7</v>
      </c>
      <c r="K51" s="4"/>
    </row>
    <row r="52" spans="1:11" s="2" customFormat="1" ht="15.75">
      <c r="A52" s="126" t="s">
        <v>215</v>
      </c>
      <c r="B52" s="89">
        <f>'PAYMENT PLAN'!B399</f>
        <v>833063785.3600001</v>
      </c>
      <c r="C52" s="109"/>
      <c r="D52" s="109"/>
      <c r="E52" s="110"/>
      <c r="F52" s="96">
        <f t="shared" si="2"/>
        <v>833063785.3600001</v>
      </c>
      <c r="K52" s="4"/>
    </row>
    <row r="53" spans="1:11" s="2" customFormat="1" ht="15.75">
      <c r="A53" s="126" t="s">
        <v>366</v>
      </c>
      <c r="B53" s="89">
        <f>'PAYMENT PLAN'!B438</f>
        <v>376624147.33</v>
      </c>
      <c r="C53" s="109"/>
      <c r="D53" s="109"/>
      <c r="E53" s="110"/>
      <c r="F53" s="96">
        <f t="shared" si="2"/>
        <v>376624147.33</v>
      </c>
      <c r="K53" s="4"/>
    </row>
    <row r="54" spans="1:11" s="2" customFormat="1" ht="15.75">
      <c r="A54" s="126" t="s">
        <v>216</v>
      </c>
      <c r="B54" s="89">
        <f>'PAYMENT PLAN'!B227+'PAYMENT PLAN'!B269+'PAYMENT PLAN'!B236+'PAYMENT PLAN'!B245+'PAYMENT PLAN'!B338+'PAYMENT PLAN'!B358+'PAYMENT PLAN'!B363+'PAYMENT PLAN'!B370+'PAYMENT PLAN'!B417+'PAYMENT PLAN'!B457</f>
        <v>5818501170.294</v>
      </c>
      <c r="C54" s="109"/>
      <c r="D54" s="109"/>
      <c r="E54" s="110"/>
      <c r="F54" s="96">
        <f t="shared" si="2"/>
        <v>5818501170.294</v>
      </c>
      <c r="K54" s="4"/>
    </row>
    <row r="55" spans="1:11" s="2" customFormat="1" ht="15.75">
      <c r="A55" s="104" t="s">
        <v>10</v>
      </c>
      <c r="B55" s="105">
        <f>SUM(B45:B54)</f>
        <v>24888877261.355503</v>
      </c>
      <c r="C55" s="105">
        <f>SUM(C45:C54)</f>
        <v>0</v>
      </c>
      <c r="D55" s="105">
        <f>SUM(D45:D54)</f>
        <v>0</v>
      </c>
      <c r="E55" s="110"/>
      <c r="F55" s="96">
        <f>SUM(F45:F54)</f>
        <v>24888877261.355503</v>
      </c>
      <c r="K55" s="4"/>
    </row>
    <row r="56" spans="1:11" s="2" customFormat="1" ht="15.75">
      <c r="A56" s="76"/>
      <c r="B56" s="89"/>
      <c r="C56" s="109"/>
      <c r="D56" s="109"/>
      <c r="E56" s="110"/>
      <c r="F56" s="96"/>
      <c r="K56" s="4"/>
    </row>
    <row r="57" spans="1:11" s="2" customFormat="1" ht="15">
      <c r="A57" s="102"/>
      <c r="B57" s="89"/>
      <c r="C57" s="109"/>
      <c r="D57" s="109"/>
      <c r="E57" s="110"/>
      <c r="F57" s="100"/>
      <c r="K57" s="4"/>
    </row>
    <row r="58" spans="1:11" s="2" customFormat="1" ht="18">
      <c r="A58" s="186" t="s">
        <v>16</v>
      </c>
      <c r="B58" s="112">
        <f>B10+B38+B41+B43+B30+B55</f>
        <v>272884084244.2786</v>
      </c>
      <c r="C58" s="112">
        <f>C10+C30+C38+C41+C43+C55</f>
        <v>220335047.96016094</v>
      </c>
      <c r="D58" s="112">
        <f>D10+D30+D38+D41+D43+D55</f>
        <v>2063470.6800000002</v>
      </c>
      <c r="E58" s="112"/>
      <c r="F58" s="112">
        <f>F10+F30+F38+F41+F43+F55</f>
        <v>765733708090.1898</v>
      </c>
      <c r="K58" s="4"/>
    </row>
    <row r="59" ht="15">
      <c r="F59" s="8"/>
    </row>
    <row r="60" ht="15">
      <c r="F60" s="57"/>
    </row>
    <row r="61" spans="4:6" ht="15">
      <c r="D61" s="57"/>
      <c r="F61" s="57"/>
    </row>
    <row r="62" spans="4:8" ht="21">
      <c r="D62" s="57"/>
      <c r="F62" s="118"/>
      <c r="H62" s="197"/>
    </row>
    <row r="63" ht="15">
      <c r="F63" s="57"/>
    </row>
    <row r="64" ht="15">
      <c r="F64" s="120"/>
    </row>
    <row r="65" ht="15">
      <c r="F65" s="117"/>
    </row>
  </sheetData>
  <sheetProtection/>
  <mergeCells count="4">
    <mergeCell ref="A1:F1"/>
    <mergeCell ref="A3:D3"/>
    <mergeCell ref="A12:D12"/>
    <mergeCell ref="A32:D32"/>
  </mergeCells>
  <printOptions/>
  <pageMargins left="0.75" right="0.25" top="0.75" bottom="0.5" header="0.25" footer="0.25"/>
  <pageSetup horizontalDpi="600" verticalDpi="600" orientation="landscape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93"/>
  <sheetViews>
    <sheetView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140625" defaultRowHeight="15"/>
  <cols>
    <col min="1" max="1" width="60.00390625" style="18" customWidth="1"/>
    <col min="2" max="2" width="25.8515625" style="18" customWidth="1"/>
    <col min="3" max="3" width="22.140625" style="34" bestFit="1" customWidth="1"/>
    <col min="4" max="4" width="27.7109375" style="32" bestFit="1" customWidth="1"/>
    <col min="5" max="5" width="28.140625" style="32" bestFit="1" customWidth="1"/>
    <col min="6" max="6" width="23.421875" style="18" bestFit="1" customWidth="1"/>
    <col min="7" max="7" width="22.140625" style="18" bestFit="1" customWidth="1"/>
    <col min="8" max="8" width="22.8515625" style="18" bestFit="1" customWidth="1"/>
    <col min="9" max="9" width="21.8515625" style="20" bestFit="1" customWidth="1"/>
    <col min="10" max="10" width="20.7109375" style="18" customWidth="1"/>
    <col min="11" max="11" width="21.00390625" style="18" bestFit="1" customWidth="1"/>
    <col min="12" max="12" width="19.8515625" style="18" bestFit="1" customWidth="1"/>
    <col min="13" max="13" width="22.8515625" style="18" bestFit="1" customWidth="1"/>
    <col min="14" max="14" width="22.57421875" style="19" customWidth="1"/>
    <col min="15" max="15" width="12.7109375" style="19" bestFit="1" customWidth="1"/>
    <col min="16" max="59" width="9.140625" style="19" customWidth="1"/>
    <col min="60" max="16384" width="9.140625" style="18" customWidth="1"/>
  </cols>
  <sheetData>
    <row r="1" spans="1:59" s="11" customFormat="1" ht="21" customHeight="1">
      <c r="A1" s="203" t="s">
        <v>427</v>
      </c>
      <c r="B1" s="203"/>
      <c r="C1" s="203"/>
      <c r="D1" s="203"/>
      <c r="E1" s="203"/>
      <c r="G1" s="11" t="s">
        <v>17</v>
      </c>
      <c r="I1" s="1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</row>
    <row r="2" spans="1:59" s="11" customFormat="1" ht="21" customHeight="1">
      <c r="A2" s="14"/>
      <c r="B2" s="13" t="s">
        <v>6</v>
      </c>
      <c r="C2" s="24" t="s">
        <v>19</v>
      </c>
      <c r="D2" s="25"/>
      <c r="E2" s="26"/>
      <c r="F2" s="14"/>
      <c r="G2" s="14"/>
      <c r="H2" s="14">
        <f>(2162.56+2218.09)/2</f>
        <v>2190.325</v>
      </c>
      <c r="I2" s="15">
        <f>(2440.1+2361.51)/2</f>
        <v>2400.8050000000003</v>
      </c>
      <c r="J2" s="14"/>
      <c r="K2" s="14"/>
      <c r="L2" s="14"/>
      <c r="M2" s="6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42" customFormat="1" ht="21" customHeight="1">
      <c r="A3" s="39" t="s">
        <v>18</v>
      </c>
      <c r="B3" s="43" t="s">
        <v>6</v>
      </c>
      <c r="C3" s="200" t="s">
        <v>19</v>
      </c>
      <c r="D3" s="201"/>
      <c r="E3" s="202"/>
      <c r="F3" s="39"/>
      <c r="G3" s="39"/>
      <c r="H3" s="39"/>
      <c r="I3" s="40"/>
      <c r="J3" s="39"/>
      <c r="K3" s="39"/>
      <c r="L3" s="39"/>
      <c r="M3" s="63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</row>
    <row r="4" spans="1:59" s="11" customFormat="1" ht="21" customHeight="1">
      <c r="A4" s="14" t="s">
        <v>20</v>
      </c>
      <c r="B4" s="13" t="s">
        <v>21</v>
      </c>
      <c r="C4" s="27" t="s">
        <v>22</v>
      </c>
      <c r="D4" s="47" t="s">
        <v>23</v>
      </c>
      <c r="E4" s="47" t="s">
        <v>24</v>
      </c>
      <c r="F4" s="14" t="s">
        <v>25</v>
      </c>
      <c r="G4" s="14" t="s">
        <v>26</v>
      </c>
      <c r="H4" s="14" t="s">
        <v>27</v>
      </c>
      <c r="I4" s="15" t="s">
        <v>28</v>
      </c>
      <c r="J4" s="14" t="s">
        <v>29</v>
      </c>
      <c r="K4" s="14" t="s">
        <v>30</v>
      </c>
      <c r="L4" s="14" t="s">
        <v>31</v>
      </c>
      <c r="M4" s="62" t="s">
        <v>32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13" ht="21" customHeight="1" hidden="1">
      <c r="A5" s="14" t="s">
        <v>33</v>
      </c>
      <c r="B5" s="131">
        <f>224295308855.58</f>
        <v>224295308855.58</v>
      </c>
      <c r="C5" s="28"/>
      <c r="D5" s="48">
        <v>0</v>
      </c>
      <c r="E5" s="29"/>
      <c r="F5" s="16"/>
      <c r="G5" s="16"/>
      <c r="H5" s="16"/>
      <c r="I5" s="17"/>
      <c r="J5" s="16">
        <v>0</v>
      </c>
      <c r="K5" s="16">
        <v>0</v>
      </c>
      <c r="L5" s="16">
        <v>0</v>
      </c>
      <c r="M5" s="49">
        <v>0</v>
      </c>
    </row>
    <row r="6" spans="1:59" s="56" customFormat="1" ht="21" customHeight="1" hidden="1">
      <c r="A6" s="51" t="s">
        <v>38</v>
      </c>
      <c r="B6" s="65">
        <f>18155930309.36+39066414731+8736972131+34160775</f>
        <v>65993477946.36</v>
      </c>
      <c r="C6" s="52"/>
      <c r="D6" s="53"/>
      <c r="E6" s="54"/>
      <c r="F6" s="51"/>
      <c r="G6" s="16">
        <v>39983034883.82</v>
      </c>
      <c r="H6" s="51"/>
      <c r="I6" s="55"/>
      <c r="J6" s="51"/>
      <c r="K6" s="51"/>
      <c r="L6" s="51"/>
      <c r="M6" s="64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</row>
    <row r="7" spans="1:59" s="56" customFormat="1" ht="21" customHeight="1" hidden="1">
      <c r="A7" s="15" t="s">
        <v>37</v>
      </c>
      <c r="B7" s="50">
        <f>B5-B6</f>
        <v>158301830909.21997</v>
      </c>
      <c r="C7" s="28" t="e">
        <f>'PAYMENT PLAN'!#REF!/1</f>
        <v>#REF!</v>
      </c>
      <c r="D7" s="53"/>
      <c r="E7" s="54"/>
      <c r="F7" s="51"/>
      <c r="G7" s="16"/>
      <c r="H7" s="51"/>
      <c r="I7" s="55"/>
      <c r="J7" s="51"/>
      <c r="K7" s="51"/>
      <c r="L7" s="51"/>
      <c r="M7" s="64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</row>
    <row r="8" spans="1:59" s="56" customFormat="1" ht="21" customHeight="1" hidden="1">
      <c r="A8" s="51" t="s">
        <v>130</v>
      </c>
      <c r="B8" s="65"/>
      <c r="C8" s="28"/>
      <c r="D8" s="53"/>
      <c r="E8" s="54"/>
      <c r="F8" s="51"/>
      <c r="G8" s="16"/>
      <c r="H8" s="51"/>
      <c r="I8" s="55"/>
      <c r="J8" s="51"/>
      <c r="K8" s="51"/>
      <c r="L8" s="51"/>
      <c r="M8" s="64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</row>
    <row r="9" spans="1:59" s="56" customFormat="1" ht="21" customHeight="1" hidden="1">
      <c r="A9" s="14" t="s">
        <v>39</v>
      </c>
      <c r="B9" s="50">
        <f>B7+B8</f>
        <v>158301830909.21997</v>
      </c>
      <c r="C9" s="28"/>
      <c r="D9" s="53"/>
      <c r="E9" s="54"/>
      <c r="F9" s="51"/>
      <c r="G9" s="16"/>
      <c r="H9" s="51"/>
      <c r="I9" s="55"/>
      <c r="J9" s="51"/>
      <c r="K9" s="51"/>
      <c r="L9" s="51"/>
      <c r="M9" s="64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</row>
    <row r="10" spans="1:13" ht="21" customHeight="1" hidden="1">
      <c r="A10" s="16" t="s">
        <v>34</v>
      </c>
      <c r="B10" s="49">
        <f>0</f>
        <v>0</v>
      </c>
      <c r="C10" s="28"/>
      <c r="D10" s="48"/>
      <c r="E10" s="29"/>
      <c r="F10" s="16"/>
      <c r="G10" s="16"/>
      <c r="H10" s="16"/>
      <c r="I10" s="17"/>
      <c r="J10" s="16"/>
      <c r="K10" s="16"/>
      <c r="L10" s="16"/>
      <c r="M10" s="49"/>
    </row>
    <row r="11" spans="1:13" ht="21" customHeight="1" hidden="1">
      <c r="A11" s="16" t="s">
        <v>35</v>
      </c>
      <c r="B11" s="49"/>
      <c r="C11" s="28"/>
      <c r="D11" s="48"/>
      <c r="E11" s="29"/>
      <c r="F11" s="16"/>
      <c r="G11" s="16"/>
      <c r="H11" s="16"/>
      <c r="I11" s="17"/>
      <c r="J11" s="16"/>
      <c r="K11" s="16"/>
      <c r="L11" s="16"/>
      <c r="M11" s="49"/>
    </row>
    <row r="12" spans="1:13" ht="21" customHeight="1" hidden="1">
      <c r="A12" s="16" t="s">
        <v>36</v>
      </c>
      <c r="B12" s="49"/>
      <c r="C12" s="28"/>
      <c r="D12" s="48"/>
      <c r="E12" s="29"/>
      <c r="F12" s="16"/>
      <c r="G12" s="16"/>
      <c r="H12" s="16"/>
      <c r="I12" s="17"/>
      <c r="J12" s="16"/>
      <c r="K12" s="16"/>
      <c r="L12" s="16"/>
      <c r="M12" s="49"/>
    </row>
    <row r="13" spans="2:59" s="56" customFormat="1" ht="21" customHeight="1" hidden="1">
      <c r="B13" s="50"/>
      <c r="C13" s="52"/>
      <c r="D13" s="53"/>
      <c r="E13" s="54"/>
      <c r="F13" s="51"/>
      <c r="G13" s="16"/>
      <c r="H13" s="51"/>
      <c r="I13" s="55"/>
      <c r="J13" s="51"/>
      <c r="K13" s="51"/>
      <c r="L13" s="51"/>
      <c r="M13" s="64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</row>
    <row r="14" spans="1:59" s="8" customFormat="1" ht="21" customHeight="1" hidden="1">
      <c r="A14" s="41"/>
      <c r="B14" s="44"/>
      <c r="C14" s="36"/>
      <c r="D14" s="45"/>
      <c r="E14" s="37"/>
      <c r="F14" s="38"/>
      <c r="G14" s="41"/>
      <c r="H14" s="41"/>
      <c r="I14" s="46"/>
      <c r="J14" s="41"/>
      <c r="K14" s="41"/>
      <c r="L14" s="41"/>
      <c r="M14" s="44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</row>
    <row r="15" spans="1:13" s="61" customFormat="1" ht="21" customHeight="1" hidden="1">
      <c r="A15" s="9"/>
      <c r="B15" s="46"/>
      <c r="C15" s="59"/>
      <c r="D15" s="60"/>
      <c r="E15" s="60"/>
      <c r="F15" s="38"/>
      <c r="G15" s="38"/>
      <c r="H15" s="77"/>
      <c r="I15" s="77"/>
      <c r="J15" s="38"/>
      <c r="K15" s="38"/>
      <c r="L15" s="78"/>
      <c r="M15" s="38"/>
    </row>
    <row r="16" spans="1:13" s="129" customFormat="1" ht="19.5" customHeight="1">
      <c r="A16" s="134" t="s">
        <v>121</v>
      </c>
      <c r="B16" s="79">
        <f>F16+G16</f>
        <v>18269611145.079</v>
      </c>
      <c r="C16" s="80"/>
      <c r="D16" s="81">
        <f aca="true" t="shared" si="0" ref="D16:D24">F16</f>
        <v>18269611145.079</v>
      </c>
      <c r="E16" s="81"/>
      <c r="F16" s="22">
        <f>SUM(H16:M16)</f>
        <v>18269611145.079</v>
      </c>
      <c r="G16" s="22"/>
      <c r="H16" s="58"/>
      <c r="I16" s="58">
        <f>(8251484.19*2214.1)</f>
        <v>18269611145.079</v>
      </c>
      <c r="J16" s="58">
        <v>0</v>
      </c>
      <c r="K16" s="22"/>
      <c r="L16" s="137"/>
      <c r="M16" s="22"/>
    </row>
    <row r="17" spans="1:13" s="129" customFormat="1" ht="19.5" customHeight="1">
      <c r="A17" s="134" t="s">
        <v>122</v>
      </c>
      <c r="B17" s="79">
        <f>F17+G17</f>
        <v>10252321724</v>
      </c>
      <c r="C17" s="80"/>
      <c r="D17" s="81">
        <f>F17</f>
        <v>10252321724</v>
      </c>
      <c r="E17" s="81"/>
      <c r="F17" s="22">
        <f>SUM(H17:M17)</f>
        <v>10252321724</v>
      </c>
      <c r="G17" s="22"/>
      <c r="H17" s="58"/>
      <c r="I17" s="58">
        <v>10252321724</v>
      </c>
      <c r="J17" s="58"/>
      <c r="K17" s="58"/>
      <c r="L17" s="58"/>
      <c r="M17" s="122"/>
    </row>
    <row r="18" spans="1:13" s="135" customFormat="1" ht="19.5" customHeight="1">
      <c r="A18" s="16" t="s">
        <v>4</v>
      </c>
      <c r="B18" s="79">
        <f>F18+G18</f>
        <v>450976419.55</v>
      </c>
      <c r="C18" s="80"/>
      <c r="D18" s="81">
        <f>F18</f>
        <v>450976419.55</v>
      </c>
      <c r="E18" s="81"/>
      <c r="F18" s="22">
        <f>SUM(H18:M18)</f>
        <v>450976419.55</v>
      </c>
      <c r="G18" s="22"/>
      <c r="H18" s="22">
        <v>450976419.55</v>
      </c>
      <c r="I18" s="22"/>
      <c r="J18" s="22"/>
      <c r="K18" s="22"/>
      <c r="L18" s="22"/>
      <c r="M18" s="22">
        <v>0</v>
      </c>
    </row>
    <row r="19" spans="1:13" s="135" customFormat="1" ht="20.25" customHeight="1">
      <c r="A19" s="16" t="s">
        <v>12</v>
      </c>
      <c r="B19" s="79">
        <f aca="true" t="shared" si="1" ref="B19:B31">F19+G19</f>
        <v>4222414859.4179997</v>
      </c>
      <c r="C19" s="80">
        <v>0</v>
      </c>
      <c r="D19" s="81">
        <f t="shared" si="0"/>
        <v>4222414859.4179997</v>
      </c>
      <c r="E19" s="81"/>
      <c r="F19" s="22">
        <f aca="true" t="shared" si="2" ref="F19:F30">SUM(H19:M19)</f>
        <v>4222414859.4179997</v>
      </c>
      <c r="G19" s="22"/>
      <c r="H19" s="22"/>
      <c r="I19" s="22">
        <f>(1907056.98)*2214.1</f>
        <v>4222414859.4179997</v>
      </c>
      <c r="J19" s="22"/>
      <c r="K19" s="22"/>
      <c r="L19" s="22"/>
      <c r="M19" s="22"/>
    </row>
    <row r="20" spans="1:13" s="135" customFormat="1" ht="20.25" customHeight="1">
      <c r="A20" s="16" t="s">
        <v>13</v>
      </c>
      <c r="B20" s="79">
        <f t="shared" si="1"/>
        <v>331145976.99399996</v>
      </c>
      <c r="C20" s="80">
        <v>0</v>
      </c>
      <c r="D20" s="81">
        <f t="shared" si="0"/>
        <v>331145976.99399996</v>
      </c>
      <c r="E20" s="81"/>
      <c r="F20" s="22">
        <f t="shared" si="2"/>
        <v>331145976.99399996</v>
      </c>
      <c r="G20" s="22"/>
      <c r="H20" s="22"/>
      <c r="I20" s="22">
        <f>149562.34*2214.1</f>
        <v>331145976.99399996</v>
      </c>
      <c r="J20" s="22"/>
      <c r="K20" s="22"/>
      <c r="L20" s="22"/>
      <c r="M20" s="22"/>
    </row>
    <row r="21" spans="1:13" s="135" customFormat="1" ht="19.5" customHeight="1">
      <c r="A21" s="16" t="s">
        <v>5</v>
      </c>
      <c r="B21" s="79">
        <f t="shared" si="1"/>
        <v>1215628821.9109998</v>
      </c>
      <c r="C21" s="80">
        <v>0</v>
      </c>
      <c r="D21" s="81">
        <f t="shared" si="0"/>
        <v>1215628821.9109998</v>
      </c>
      <c r="E21" s="81"/>
      <c r="F21" s="22">
        <f t="shared" si="2"/>
        <v>1215628821.9109998</v>
      </c>
      <c r="G21" s="22"/>
      <c r="H21" s="22"/>
      <c r="I21" s="22"/>
      <c r="J21" s="22">
        <f>549039.71*2214.1</f>
        <v>1215628821.9109998</v>
      </c>
      <c r="K21" s="22"/>
      <c r="M21" s="22"/>
    </row>
    <row r="22" spans="1:13" s="135" customFormat="1" ht="19.5" customHeight="1">
      <c r="A22" s="134" t="s">
        <v>175</v>
      </c>
      <c r="B22" s="79">
        <f t="shared" si="1"/>
        <v>164783546842.91602</v>
      </c>
      <c r="C22" s="80">
        <v>0</v>
      </c>
      <c r="D22" s="81">
        <f t="shared" si="0"/>
        <v>164783546842.91602</v>
      </c>
      <c r="E22" s="81"/>
      <c r="F22" s="22">
        <f t="shared" si="2"/>
        <v>164783546842.91602</v>
      </c>
      <c r="G22" s="22"/>
      <c r="H22" s="22"/>
      <c r="I22" s="22"/>
      <c r="J22" s="22">
        <f>(77134522.76*2214.1)</f>
        <v>170783546842.91602</v>
      </c>
      <c r="K22" s="22">
        <v>-6000000000</v>
      </c>
      <c r="L22" s="22"/>
      <c r="M22" s="71">
        <v>0</v>
      </c>
    </row>
    <row r="23" spans="1:13" s="135" customFormat="1" ht="19.5" customHeight="1">
      <c r="A23" s="134" t="s">
        <v>224</v>
      </c>
      <c r="B23" s="79">
        <f t="shared" si="1"/>
        <v>50056708745.393</v>
      </c>
      <c r="C23" s="80"/>
      <c r="D23" s="81">
        <f t="shared" si="0"/>
        <v>50056708745.393</v>
      </c>
      <c r="E23" s="81"/>
      <c r="F23" s="22">
        <f t="shared" si="2"/>
        <v>50056708745.393</v>
      </c>
      <c r="G23" s="22"/>
      <c r="H23" s="22"/>
      <c r="I23" s="22"/>
      <c r="J23" s="22">
        <f>22608151.73*2214.1</f>
        <v>50056708745.393</v>
      </c>
      <c r="K23" s="71"/>
      <c r="L23" s="22"/>
      <c r="M23" s="71"/>
    </row>
    <row r="24" spans="1:13" s="135" customFormat="1" ht="19.5" customHeight="1">
      <c r="A24" s="134" t="s">
        <v>40</v>
      </c>
      <c r="B24" s="79">
        <f t="shared" si="1"/>
        <v>549065935.4460001</v>
      </c>
      <c r="C24" s="80">
        <v>0</v>
      </c>
      <c r="D24" s="81">
        <f t="shared" si="0"/>
        <v>549065935.4460001</v>
      </c>
      <c r="E24" s="81"/>
      <c r="F24" s="22">
        <f t="shared" si="2"/>
        <v>549065935.4460001</v>
      </c>
      <c r="G24" s="22"/>
      <c r="H24" s="58"/>
      <c r="I24" s="58">
        <f>(747986.06-500000)*2214.1</f>
        <v>549065935.4460001</v>
      </c>
      <c r="J24" s="58"/>
      <c r="K24" s="71"/>
      <c r="L24" s="137"/>
      <c r="M24" s="71"/>
    </row>
    <row r="25" spans="1:13" s="135" customFormat="1" ht="19.5" customHeight="1">
      <c r="A25" s="134" t="s">
        <v>266</v>
      </c>
      <c r="B25" s="79">
        <f t="shared" si="1"/>
        <v>0</v>
      </c>
      <c r="C25" s="80"/>
      <c r="D25" s="81"/>
      <c r="E25" s="81"/>
      <c r="F25" s="22">
        <f t="shared" si="2"/>
        <v>0</v>
      </c>
      <c r="G25" s="22"/>
      <c r="H25" s="58"/>
      <c r="I25" s="138"/>
      <c r="J25" s="58"/>
      <c r="K25" s="71"/>
      <c r="L25" s="137"/>
      <c r="M25" s="71"/>
    </row>
    <row r="26" spans="1:13" s="139" customFormat="1" ht="19.5" customHeight="1">
      <c r="A26" s="134" t="s">
        <v>41</v>
      </c>
      <c r="B26" s="79">
        <f t="shared" si="1"/>
        <v>4315424520.608</v>
      </c>
      <c r="C26" s="79">
        <f>G26+H26</f>
        <v>0</v>
      </c>
      <c r="D26" s="79">
        <f>H26+I26</f>
        <v>310580190.38</v>
      </c>
      <c r="E26" s="79">
        <f>I26+J26</f>
        <v>4315424520.608</v>
      </c>
      <c r="F26" s="22">
        <f t="shared" si="2"/>
        <v>4315424520.608</v>
      </c>
      <c r="G26" s="22"/>
      <c r="H26" s="58"/>
      <c r="I26" s="58">
        <v>310580190.38</v>
      </c>
      <c r="J26" s="58">
        <f>1808791.08*2214.1</f>
        <v>4004844330.228</v>
      </c>
      <c r="K26" s="58"/>
      <c r="L26" s="58"/>
      <c r="M26" s="58"/>
    </row>
    <row r="27" spans="1:13" s="139" customFormat="1" ht="19.5" customHeight="1">
      <c r="A27" s="134" t="s">
        <v>135</v>
      </c>
      <c r="B27" s="79">
        <f t="shared" si="1"/>
        <v>22404035380.105</v>
      </c>
      <c r="C27" s="80"/>
      <c r="D27" s="81"/>
      <c r="E27" s="81"/>
      <c r="F27" s="22">
        <f t="shared" si="2"/>
        <v>22404035380.105</v>
      </c>
      <c r="G27" s="22"/>
      <c r="H27" s="58">
        <f>10085992.25*2214.1</f>
        <v>22331395440.725</v>
      </c>
      <c r="I27" s="58">
        <f>55056014.33+17583925.05</f>
        <v>72639939.38</v>
      </c>
      <c r="J27" s="58"/>
      <c r="K27" s="58"/>
      <c r="L27" s="71">
        <v>0</v>
      </c>
      <c r="M27" s="71">
        <v>0</v>
      </c>
    </row>
    <row r="28" spans="1:13" s="139" customFormat="1" ht="19.5" customHeight="1">
      <c r="A28" s="134" t="s">
        <v>120</v>
      </c>
      <c r="B28" s="79">
        <f t="shared" si="1"/>
        <v>0</v>
      </c>
      <c r="C28" s="80"/>
      <c r="D28" s="81"/>
      <c r="E28" s="81"/>
      <c r="F28" s="22">
        <f t="shared" si="2"/>
        <v>0</v>
      </c>
      <c r="G28" s="22"/>
      <c r="H28" s="58"/>
      <c r="I28" s="58"/>
      <c r="J28" s="58">
        <v>0</v>
      </c>
      <c r="K28" s="58">
        <v>0</v>
      </c>
      <c r="L28" s="71"/>
      <c r="M28" s="58"/>
    </row>
    <row r="29" spans="1:13" s="139" customFormat="1" ht="19.5" customHeight="1">
      <c r="A29" s="134" t="s">
        <v>148</v>
      </c>
      <c r="B29" s="79">
        <f t="shared" si="1"/>
        <v>0</v>
      </c>
      <c r="C29" s="80"/>
      <c r="D29" s="81"/>
      <c r="E29" s="81"/>
      <c r="F29" s="22"/>
      <c r="G29" s="22"/>
      <c r="H29" s="58"/>
      <c r="I29" s="58"/>
      <c r="J29" s="58"/>
      <c r="K29" s="58"/>
      <c r="L29" s="71"/>
      <c r="M29" s="58"/>
    </row>
    <row r="30" spans="1:13" s="139" customFormat="1" ht="19.5" customHeight="1">
      <c r="A30" s="134" t="s">
        <v>319</v>
      </c>
      <c r="B30" s="79">
        <f t="shared" si="1"/>
        <v>0</v>
      </c>
      <c r="C30" s="80"/>
      <c r="D30" s="81"/>
      <c r="E30" s="81"/>
      <c r="F30" s="22">
        <f t="shared" si="2"/>
        <v>0</v>
      </c>
      <c r="G30" s="22"/>
      <c r="H30" s="58"/>
      <c r="I30" s="58"/>
      <c r="J30" s="58"/>
      <c r="K30" s="58"/>
      <c r="L30" s="71"/>
      <c r="M30" s="58"/>
    </row>
    <row r="31" spans="1:13" s="139" customFormat="1" ht="19.5" customHeight="1">
      <c r="A31" s="134" t="s">
        <v>395</v>
      </c>
      <c r="B31" s="79">
        <f t="shared" si="1"/>
        <v>0</v>
      </c>
      <c r="C31" s="80"/>
      <c r="D31" s="81"/>
      <c r="E31" s="81"/>
      <c r="F31" s="22"/>
      <c r="G31" s="22"/>
      <c r="H31" s="58">
        <v>296105376.8</v>
      </c>
      <c r="I31" s="58"/>
      <c r="J31" s="58"/>
      <c r="K31" s="58"/>
      <c r="L31" s="71"/>
      <c r="M31" s="58"/>
    </row>
    <row r="32" spans="1:13" s="139" customFormat="1" ht="19.5" customHeight="1">
      <c r="A32" s="134" t="s">
        <v>424</v>
      </c>
      <c r="B32" s="79">
        <f>F32+G32</f>
        <v>0</v>
      </c>
      <c r="C32" s="80"/>
      <c r="D32" s="81"/>
      <c r="E32" s="81"/>
      <c r="F32" s="22"/>
      <c r="G32" s="22"/>
      <c r="H32" s="58">
        <v>296105376.8</v>
      </c>
      <c r="I32" s="58"/>
      <c r="J32" s="58"/>
      <c r="K32" s="58"/>
      <c r="L32" s="71"/>
      <c r="M32" s="58"/>
    </row>
    <row r="33" spans="1:13" s="139" customFormat="1" ht="19.5" customHeight="1">
      <c r="A33" s="134" t="s">
        <v>123</v>
      </c>
      <c r="B33" s="79">
        <f>F33+G33</f>
        <v>55306206601.583206</v>
      </c>
      <c r="C33" s="80"/>
      <c r="D33" s="81">
        <f>F33</f>
        <v>55306206601.583206</v>
      </c>
      <c r="E33" s="81"/>
      <c r="F33" s="22">
        <f>SUM(H33:M33)</f>
        <v>55306206601.583206</v>
      </c>
      <c r="G33" s="22"/>
      <c r="H33" s="22"/>
      <c r="I33" s="22">
        <f>(26308791.92*2159.21)-1500000000</f>
        <v>55306206601.583206</v>
      </c>
      <c r="J33" s="22"/>
      <c r="K33" s="22"/>
      <c r="L33" s="22"/>
      <c r="M33" s="22"/>
    </row>
    <row r="34" spans="1:13" s="139" customFormat="1" ht="19.5" customHeight="1">
      <c r="A34" s="134" t="s">
        <v>124</v>
      </c>
      <c r="B34" s="79">
        <f>F34+G34</f>
        <v>2544724600</v>
      </c>
      <c r="C34" s="80"/>
      <c r="D34" s="81">
        <f>F34</f>
        <v>2544724600</v>
      </c>
      <c r="E34" s="81"/>
      <c r="F34" s="22">
        <f>SUM(H34:M34)</f>
        <v>2544724600</v>
      </c>
      <c r="G34" s="22"/>
      <c r="H34" s="140">
        <v>0</v>
      </c>
      <c r="I34" s="141">
        <v>2544724600</v>
      </c>
      <c r="J34" s="141"/>
      <c r="K34" s="141"/>
      <c r="L34" s="141"/>
      <c r="M34" s="71"/>
    </row>
    <row r="35" spans="1:13" s="139" customFormat="1" ht="19.5" customHeight="1">
      <c r="A35" s="134" t="s">
        <v>425</v>
      </c>
      <c r="B35" s="79">
        <f>G35+F35</f>
        <v>7741905642.275</v>
      </c>
      <c r="C35" s="80"/>
      <c r="D35" s="81"/>
      <c r="E35" s="81"/>
      <c r="F35" s="199">
        <f>K35</f>
        <v>7741905642.275</v>
      </c>
      <c r="G35" s="22"/>
      <c r="I35" s="141"/>
      <c r="J35" s="141"/>
      <c r="K35" s="122">
        <f>(3044825.97+451811.78)*2214.1</f>
        <v>7741905642.275</v>
      </c>
      <c r="L35" s="141"/>
      <c r="M35" s="71"/>
    </row>
    <row r="36" spans="1:59" ht="19.5" customHeight="1">
      <c r="A36" s="16" t="s">
        <v>177</v>
      </c>
      <c r="B36" s="143">
        <f aca="true" t="shared" si="3" ref="B36:B46">F36+G36</f>
        <v>142922989512.96097</v>
      </c>
      <c r="C36" s="28"/>
      <c r="D36" s="128">
        <f aca="true" t="shared" si="4" ref="D36:D41">F36</f>
        <v>142922989512.96097</v>
      </c>
      <c r="E36" s="29"/>
      <c r="F36" s="127">
        <f>SUM(H36:M36)</f>
        <v>142922989512.96097</v>
      </c>
      <c r="G36" s="16"/>
      <c r="I36" s="16">
        <f>(56096640.19+8454640.02)*2214.1</f>
        <v>142922989512.96097</v>
      </c>
      <c r="J36" s="16"/>
      <c r="K36" s="16"/>
      <c r="L36" s="16"/>
      <c r="M36" s="16"/>
      <c r="N36" s="16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59" ht="19.5" customHeight="1">
      <c r="A37" s="16" t="s">
        <v>178</v>
      </c>
      <c r="B37" s="170">
        <f t="shared" si="3"/>
        <v>29229430052.8581</v>
      </c>
      <c r="C37" s="28"/>
      <c r="D37" s="128">
        <f t="shared" si="4"/>
        <v>0</v>
      </c>
      <c r="E37" s="29"/>
      <c r="F37" s="127">
        <f>SUM(H37:M37)</f>
        <v>0</v>
      </c>
      <c r="G37" s="16">
        <f>(13537094.61)*2159.21</f>
        <v>29229430052.8581</v>
      </c>
      <c r="I37" s="16"/>
      <c r="J37" s="16"/>
      <c r="K37" s="16"/>
      <c r="L37" s="16"/>
      <c r="M37" s="49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1:59" s="11" customFormat="1" ht="21" customHeight="1">
      <c r="A38" s="16" t="s">
        <v>430</v>
      </c>
      <c r="B38" s="170">
        <f t="shared" si="3"/>
        <v>11575603607.204</v>
      </c>
      <c r="C38" s="28"/>
      <c r="D38" s="128">
        <f t="shared" si="4"/>
        <v>11575603607.204</v>
      </c>
      <c r="E38" s="29"/>
      <c r="F38" s="127">
        <f>SUM(H38:M38)</f>
        <v>11575603607.204</v>
      </c>
      <c r="G38" s="14"/>
      <c r="H38" s="16">
        <f>5228130.44*2214.1</f>
        <v>11575603607.204</v>
      </c>
      <c r="I38" s="17"/>
      <c r="J38" s="16"/>
      <c r="K38" s="16"/>
      <c r="L38" s="16"/>
      <c r="M38" s="49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s="11" customFormat="1" ht="21" customHeight="1">
      <c r="A39" s="16" t="s">
        <v>388</v>
      </c>
      <c r="B39" s="170">
        <f>H39</f>
        <v>0</v>
      </c>
      <c r="C39" s="28"/>
      <c r="D39" s="128">
        <f t="shared" si="4"/>
        <v>0</v>
      </c>
      <c r="E39" s="29"/>
      <c r="F39" s="127"/>
      <c r="G39" s="16"/>
      <c r="H39" s="17">
        <v>0</v>
      </c>
      <c r="I39" s="16"/>
      <c r="J39" s="16"/>
      <c r="K39" s="16"/>
      <c r="L39" s="16"/>
      <c r="M39" s="49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</row>
    <row r="40" spans="1:59" s="11" customFormat="1" ht="21" customHeight="1">
      <c r="A40" s="16" t="s">
        <v>387</v>
      </c>
      <c r="B40" s="171">
        <f>F40+G40</f>
        <v>49062145866</v>
      </c>
      <c r="C40" s="31"/>
      <c r="D40" s="128">
        <f t="shared" si="4"/>
        <v>49062145866</v>
      </c>
      <c r="E40" s="29"/>
      <c r="F40" s="127">
        <f>SUM(H40:M40)</f>
        <v>49062145866</v>
      </c>
      <c r="G40" s="16"/>
      <c r="H40" s="16">
        <v>49062145866</v>
      </c>
      <c r="I40" s="16"/>
      <c r="J40" s="16"/>
      <c r="K40" s="16"/>
      <c r="L40" s="16"/>
      <c r="M40" s="49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</row>
    <row r="41" spans="1:59" s="11" customFormat="1" ht="21" customHeight="1">
      <c r="A41" s="16" t="s">
        <v>179</v>
      </c>
      <c r="B41" s="143">
        <f t="shared" si="3"/>
        <v>19508413746</v>
      </c>
      <c r="C41" s="31"/>
      <c r="D41" s="128">
        <f t="shared" si="4"/>
        <v>19508413746</v>
      </c>
      <c r="E41" s="29"/>
      <c r="F41" s="127">
        <f>H41</f>
        <v>19508413746</v>
      </c>
      <c r="G41" s="16"/>
      <c r="H41" s="17">
        <v>19508413746</v>
      </c>
      <c r="I41" s="16"/>
      <c r="J41" s="19"/>
      <c r="K41" s="16"/>
      <c r="L41" s="16"/>
      <c r="M41" s="49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42" spans="1:13" s="129" customFormat="1" ht="19.5" customHeight="1">
      <c r="A42" s="192" t="s">
        <v>140</v>
      </c>
      <c r="B42" s="79">
        <f t="shared" si="3"/>
        <v>5005794157.3188</v>
      </c>
      <c r="C42" s="80"/>
      <c r="D42" s="81">
        <f>F42</f>
        <v>5005794157.3188</v>
      </c>
      <c r="E42" s="81"/>
      <c r="F42" s="22">
        <f>SUM(H42:M42)</f>
        <v>5005794157.3188</v>
      </c>
      <c r="G42" s="22"/>
      <c r="H42" s="22"/>
      <c r="I42" s="22">
        <f>2063470.68*2425.91</f>
        <v>5005794157.3188</v>
      </c>
      <c r="J42" s="22"/>
      <c r="K42" s="22"/>
      <c r="L42" s="22"/>
      <c r="M42" s="22"/>
    </row>
    <row r="43" spans="1:13" s="129" customFormat="1" ht="19.5" customHeight="1">
      <c r="A43" s="192" t="s">
        <v>141</v>
      </c>
      <c r="B43" s="79">
        <f t="shared" si="3"/>
        <v>29298110.1</v>
      </c>
      <c r="C43" s="80"/>
      <c r="D43" s="81">
        <f>F43</f>
        <v>29298110.1</v>
      </c>
      <c r="E43" s="81"/>
      <c r="F43" s="22">
        <f>SUM(H43:M43)</f>
        <v>29298110.1</v>
      </c>
      <c r="G43" s="22"/>
      <c r="H43" s="22"/>
      <c r="I43" s="22">
        <v>29298110.1</v>
      </c>
      <c r="J43" s="22"/>
      <c r="K43" s="22"/>
      <c r="L43" s="22"/>
      <c r="M43" s="22"/>
    </row>
    <row r="44" spans="1:13" s="129" customFormat="1" ht="19.5" customHeight="1">
      <c r="A44" s="192" t="s">
        <v>176</v>
      </c>
      <c r="B44" s="79">
        <f t="shared" si="3"/>
        <v>17743134455.649994</v>
      </c>
      <c r="C44" s="80"/>
      <c r="D44" s="81">
        <f>F44</f>
        <v>17743134455.649994</v>
      </c>
      <c r="E44" s="81"/>
      <c r="F44" s="22">
        <f>SUM(H44:M44)</f>
        <v>17743134455.649994</v>
      </c>
      <c r="G44" s="22"/>
      <c r="H44" s="122"/>
      <c r="I44" s="122"/>
      <c r="J44" s="122"/>
      <c r="L44" s="122">
        <f>-87299990269.98-3524604261.77</f>
        <v>-90824594531.75</v>
      </c>
      <c r="M44" s="122">
        <v>108567728987.4</v>
      </c>
    </row>
    <row r="45" spans="1:13" s="129" customFormat="1" ht="19.5" customHeight="1">
      <c r="A45" s="192" t="s">
        <v>252</v>
      </c>
      <c r="B45" s="79">
        <f t="shared" si="3"/>
        <v>107631304603</v>
      </c>
      <c r="C45" s="80">
        <v>0</v>
      </c>
      <c r="D45" s="81">
        <f>F45</f>
        <v>107631304603</v>
      </c>
      <c r="E45" s="81"/>
      <c r="F45" s="22">
        <f>SUM(H45:M45)</f>
        <v>107631304603</v>
      </c>
      <c r="G45" s="22"/>
      <c r="H45" s="122"/>
      <c r="I45" s="122">
        <f>109631304603-2000000000</f>
        <v>107631304603</v>
      </c>
      <c r="J45" s="122"/>
      <c r="K45" s="122"/>
      <c r="L45" s="122"/>
      <c r="M45" s="122"/>
    </row>
    <row r="46" spans="1:13" s="130" customFormat="1" ht="19.5" customHeight="1">
      <c r="A46" s="192" t="s">
        <v>15</v>
      </c>
      <c r="B46" s="79">
        <f t="shared" si="3"/>
        <v>92167611</v>
      </c>
      <c r="C46" s="142">
        <v>0</v>
      </c>
      <c r="D46" s="81">
        <f>F46</f>
        <v>92167611</v>
      </c>
      <c r="E46" s="81"/>
      <c r="F46" s="22">
        <f>SUM(H46:M46)</f>
        <v>92167611</v>
      </c>
      <c r="G46" s="22"/>
      <c r="H46" s="22"/>
      <c r="I46" s="22"/>
      <c r="K46" s="22">
        <f>297897611-205730000</f>
        <v>92167611</v>
      </c>
      <c r="L46" s="22"/>
      <c r="M46" s="22"/>
    </row>
    <row r="47" spans="1:15" ht="19.5" customHeight="1">
      <c r="A47" s="124" t="s">
        <v>10</v>
      </c>
      <c r="B47" s="14">
        <f aca="true" t="shared" si="5" ref="B47:O47">SUM(B16:B46)</f>
        <v>725243998937.3701</v>
      </c>
      <c r="C47" s="14">
        <f t="shared" si="5"/>
        <v>0</v>
      </c>
      <c r="D47" s="14">
        <f t="shared" si="5"/>
        <v>661863783531.9039</v>
      </c>
      <c r="E47" s="14">
        <f t="shared" si="5"/>
        <v>4315424520.608</v>
      </c>
      <c r="F47" s="14">
        <f t="shared" si="5"/>
        <v>696014568884.5121</v>
      </c>
      <c r="G47" s="14">
        <f t="shared" si="5"/>
        <v>29229430052.8581</v>
      </c>
      <c r="H47" s="14">
        <f t="shared" si="5"/>
        <v>103520745833.079</v>
      </c>
      <c r="I47" s="14">
        <f t="shared" si="5"/>
        <v>347448097355.66</v>
      </c>
      <c r="J47" s="14">
        <f t="shared" si="5"/>
        <v>226060728740.44803</v>
      </c>
      <c r="K47" s="14">
        <f t="shared" si="5"/>
        <v>1834073253.2749996</v>
      </c>
      <c r="L47" s="14">
        <f t="shared" si="5"/>
        <v>-90824594531.75</v>
      </c>
      <c r="M47" s="14">
        <f t="shared" si="5"/>
        <v>108567728987.4</v>
      </c>
      <c r="N47" s="14">
        <f t="shared" si="5"/>
        <v>0</v>
      </c>
      <c r="O47" s="14">
        <f t="shared" si="5"/>
        <v>0</v>
      </c>
    </row>
    <row r="48" spans="1:13" ht="19.5" customHeight="1">
      <c r="A48" s="14" t="s">
        <v>43</v>
      </c>
      <c r="B48" s="16"/>
      <c r="C48" s="28"/>
      <c r="D48" s="29"/>
      <c r="E48" s="29"/>
      <c r="F48" s="16"/>
      <c r="G48" s="14"/>
      <c r="H48" s="14"/>
      <c r="I48" s="15"/>
      <c r="J48" s="14"/>
      <c r="K48" s="14"/>
      <c r="L48" s="14"/>
      <c r="M48" s="62"/>
    </row>
    <row r="49" spans="1:13" ht="21" customHeight="1">
      <c r="A49" s="16" t="s">
        <v>44</v>
      </c>
      <c r="B49" s="16">
        <f>F49+G49</f>
        <v>0</v>
      </c>
      <c r="C49" s="31"/>
      <c r="D49" s="29">
        <f aca="true" t="shared" si="6" ref="D49:D58">F49</f>
        <v>0</v>
      </c>
      <c r="E49" s="29"/>
      <c r="F49" s="16">
        <f>SUM(H49:M49)</f>
        <v>0</v>
      </c>
      <c r="G49" s="16"/>
      <c r="H49" s="16"/>
      <c r="I49" s="16"/>
      <c r="J49" s="16"/>
      <c r="K49" s="16"/>
      <c r="L49" s="16"/>
      <c r="M49" s="49"/>
    </row>
    <row r="50" spans="1:59" ht="21" customHeight="1">
      <c r="A50" s="16" t="s">
        <v>45</v>
      </c>
      <c r="B50" s="16">
        <f>H50+G50</f>
        <v>1027997592.5569999</v>
      </c>
      <c r="C50" s="31"/>
      <c r="D50" s="29"/>
      <c r="E50" s="16"/>
      <c r="F50" s="16"/>
      <c r="H50" s="16">
        <f>327833486.1+(24852.77*2214.1)+645137588.4</f>
        <v>1027997592.5569999</v>
      </c>
      <c r="I50" s="16"/>
      <c r="J50" s="16"/>
      <c r="K50" s="16"/>
      <c r="L50" s="16"/>
      <c r="M50" s="16"/>
      <c r="N50" s="16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</row>
    <row r="51" spans="1:59" ht="21" customHeight="1">
      <c r="A51" s="16" t="s">
        <v>428</v>
      </c>
      <c r="B51" s="16">
        <f>H51+G51</f>
        <v>2310488581</v>
      </c>
      <c r="C51" s="31"/>
      <c r="D51" s="29"/>
      <c r="E51" s="16"/>
      <c r="F51" s="16"/>
      <c r="H51" s="16">
        <v>2310488581</v>
      </c>
      <c r="I51" s="16"/>
      <c r="J51" s="16"/>
      <c r="K51" s="16"/>
      <c r="L51" s="16"/>
      <c r="M51" s="16"/>
      <c r="N51" s="16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1:13" ht="21" customHeight="1">
      <c r="A52" s="16" t="s">
        <v>0</v>
      </c>
      <c r="B52" s="16">
        <f aca="true" t="shared" si="7" ref="B52:B58">F52+G52</f>
        <v>118244965.05</v>
      </c>
      <c r="C52" s="31"/>
      <c r="D52" s="29">
        <f t="shared" si="6"/>
        <v>0</v>
      </c>
      <c r="F52" s="16"/>
      <c r="G52" s="16">
        <f>H52</f>
        <v>118244965.05</v>
      </c>
      <c r="H52" s="16">
        <f>107970*2190.33/2</f>
        <v>118244965.05</v>
      </c>
      <c r="I52" s="16"/>
      <c r="J52" s="16"/>
      <c r="K52" s="16"/>
      <c r="L52" s="16"/>
      <c r="M52" s="49"/>
    </row>
    <row r="53" spans="1:13" ht="21" customHeight="1">
      <c r="A53" s="16" t="s">
        <v>231</v>
      </c>
      <c r="B53" s="16">
        <f t="shared" si="7"/>
        <v>0</v>
      </c>
      <c r="C53" s="31"/>
      <c r="D53" s="29">
        <f t="shared" si="6"/>
        <v>0</v>
      </c>
      <c r="F53" s="16">
        <f aca="true" t="shared" si="8" ref="F53:F58">SUM(H53:M53)</f>
        <v>0</v>
      </c>
      <c r="G53" s="16"/>
      <c r="I53" s="16"/>
      <c r="J53" s="16"/>
      <c r="K53" s="16"/>
      <c r="L53" s="16"/>
      <c r="M53" s="49"/>
    </row>
    <row r="54" spans="1:59" s="11" customFormat="1" ht="21" customHeight="1">
      <c r="A54" s="16" t="s">
        <v>46</v>
      </c>
      <c r="B54" s="16">
        <f t="shared" si="7"/>
        <v>0</v>
      </c>
      <c r="C54" s="31"/>
      <c r="D54" s="29">
        <f t="shared" si="6"/>
        <v>0</v>
      </c>
      <c r="E54" s="29"/>
      <c r="F54" s="16">
        <f t="shared" si="8"/>
        <v>0</v>
      </c>
      <c r="G54" s="16"/>
      <c r="H54" s="17"/>
      <c r="I54" s="16"/>
      <c r="J54" s="16"/>
      <c r="K54" s="16"/>
      <c r="L54" s="16"/>
      <c r="M54" s="49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</row>
    <row r="55" spans="1:59" s="11" customFormat="1" ht="21" customHeight="1">
      <c r="A55" s="16" t="s">
        <v>47</v>
      </c>
      <c r="B55" s="16">
        <f t="shared" si="7"/>
        <v>0</v>
      </c>
      <c r="C55" s="31"/>
      <c r="D55" s="29">
        <f t="shared" si="6"/>
        <v>0</v>
      </c>
      <c r="E55" s="29"/>
      <c r="F55" s="16">
        <f t="shared" si="8"/>
        <v>0</v>
      </c>
      <c r="G55" s="16"/>
      <c r="H55" s="16"/>
      <c r="I55" s="17"/>
      <c r="J55" s="16"/>
      <c r="K55" s="16"/>
      <c r="L55" s="16"/>
      <c r="M55" s="49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</row>
    <row r="56" spans="1:59" s="11" customFormat="1" ht="21" customHeight="1">
      <c r="A56" s="16" t="s">
        <v>48</v>
      </c>
      <c r="B56" s="16">
        <f t="shared" si="7"/>
        <v>2188637880</v>
      </c>
      <c r="C56" s="31"/>
      <c r="D56" s="29">
        <f t="shared" si="6"/>
        <v>2188637880</v>
      </c>
      <c r="E56" s="32"/>
      <c r="F56" s="16">
        <f>SUM(H56:M56)</f>
        <v>2188637880</v>
      </c>
      <c r="G56" s="16"/>
      <c r="H56" s="18">
        <f>(1238366)*2180-511000000</f>
        <v>2188637880</v>
      </c>
      <c r="I56" s="16"/>
      <c r="J56" s="16"/>
      <c r="K56" s="16"/>
      <c r="L56" s="16"/>
      <c r="M56" s="49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</row>
    <row r="57" spans="1:59" s="11" customFormat="1" ht="21" customHeight="1">
      <c r="A57" s="16" t="s">
        <v>114</v>
      </c>
      <c r="B57" s="16">
        <f t="shared" si="7"/>
        <v>0</v>
      </c>
      <c r="C57" s="31"/>
      <c r="D57" s="29">
        <f>F57</f>
        <v>0</v>
      </c>
      <c r="E57" s="29"/>
      <c r="F57" s="16"/>
      <c r="G57" s="16"/>
      <c r="H57" s="16"/>
      <c r="I57" s="16"/>
      <c r="J57" s="16"/>
      <c r="K57" s="16"/>
      <c r="L57" s="16"/>
      <c r="M57" s="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59" s="11" customFormat="1" ht="21" customHeight="1">
      <c r="A58" s="16" t="s">
        <v>1</v>
      </c>
      <c r="B58" s="16">
        <f t="shared" si="7"/>
        <v>0</v>
      </c>
      <c r="C58" s="31"/>
      <c r="D58" s="29">
        <f t="shared" si="6"/>
        <v>0</v>
      </c>
      <c r="E58" s="29"/>
      <c r="F58" s="16">
        <f t="shared" si="8"/>
        <v>0</v>
      </c>
      <c r="G58" s="16"/>
      <c r="H58" s="16"/>
      <c r="I58" s="17"/>
      <c r="J58" s="16"/>
      <c r="K58" s="16"/>
      <c r="L58" s="16"/>
      <c r="M58" s="49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</row>
    <row r="59" spans="1:15" ht="21" customHeight="1">
      <c r="A59" s="14" t="s">
        <v>10</v>
      </c>
      <c r="B59" s="14">
        <f>SUM(B49:B58)</f>
        <v>5645369018.607</v>
      </c>
      <c r="C59" s="14">
        <f>SUM(C49:C58)</f>
        <v>0</v>
      </c>
      <c r="D59" s="14">
        <f aca="true" t="shared" si="9" ref="D59:O59">SUM(D49:D58)</f>
        <v>2188637880</v>
      </c>
      <c r="E59" s="14">
        <f t="shared" si="9"/>
        <v>0</v>
      </c>
      <c r="F59" s="14">
        <f t="shared" si="9"/>
        <v>2188637880</v>
      </c>
      <c r="G59" s="14">
        <f t="shared" si="9"/>
        <v>118244965.05</v>
      </c>
      <c r="H59" s="14">
        <f t="shared" si="9"/>
        <v>5645369018.607</v>
      </c>
      <c r="I59" s="14">
        <f t="shared" si="9"/>
        <v>0</v>
      </c>
      <c r="J59" s="14">
        <f t="shared" si="9"/>
        <v>0</v>
      </c>
      <c r="K59" s="14">
        <f t="shared" si="9"/>
        <v>0</v>
      </c>
      <c r="L59" s="14">
        <f t="shared" si="9"/>
        <v>0</v>
      </c>
      <c r="M59" s="14">
        <f t="shared" si="9"/>
        <v>0</v>
      </c>
      <c r="N59" s="14">
        <f t="shared" si="9"/>
        <v>0</v>
      </c>
      <c r="O59" s="14">
        <f t="shared" si="9"/>
        <v>0</v>
      </c>
    </row>
    <row r="60" spans="1:13" ht="21" customHeight="1">
      <c r="A60" s="16"/>
      <c r="B60" s="16"/>
      <c r="C60" s="28"/>
      <c r="D60" s="29"/>
      <c r="E60" s="29"/>
      <c r="F60" s="16"/>
      <c r="G60" s="16"/>
      <c r="H60" s="16"/>
      <c r="I60" s="17"/>
      <c r="J60" s="16"/>
      <c r="K60" s="16"/>
      <c r="L60" s="16"/>
      <c r="M60" s="49"/>
    </row>
    <row r="61" spans="1:13" ht="21" customHeight="1">
      <c r="A61" s="14" t="s">
        <v>49</v>
      </c>
      <c r="B61" s="16"/>
      <c r="C61" s="28"/>
      <c r="D61" s="30"/>
      <c r="E61" s="29"/>
      <c r="F61" s="16">
        <f>SUM(H61:M61)</f>
        <v>0</v>
      </c>
      <c r="G61" s="14"/>
      <c r="H61" s="14"/>
      <c r="I61" s="15"/>
      <c r="J61" s="14"/>
      <c r="K61" s="14"/>
      <c r="L61" s="14"/>
      <c r="M61" s="62"/>
    </row>
    <row r="62" spans="1:13" ht="21" customHeight="1">
      <c r="A62" s="16" t="s">
        <v>50</v>
      </c>
      <c r="B62" s="16">
        <f aca="true" t="shared" si="10" ref="B62:B68">F62+G62</f>
        <v>0</v>
      </c>
      <c r="C62" s="28"/>
      <c r="D62" s="29">
        <f aca="true" t="shared" si="11" ref="D62:D68">F62</f>
        <v>0</v>
      </c>
      <c r="E62" s="29"/>
      <c r="F62" s="16">
        <f aca="true" t="shared" si="12" ref="F62:F68">SUM(H62:M62)</f>
        <v>0</v>
      </c>
      <c r="G62" s="16"/>
      <c r="H62" s="16"/>
      <c r="I62" s="17"/>
      <c r="J62" s="16"/>
      <c r="K62" s="16"/>
      <c r="L62" s="16"/>
      <c r="M62" s="49"/>
    </row>
    <row r="63" spans="1:13" ht="21" customHeight="1">
      <c r="A63" s="16" t="s">
        <v>51</v>
      </c>
      <c r="B63" s="16">
        <f t="shared" si="10"/>
        <v>0</v>
      </c>
      <c r="C63" s="28">
        <v>13420080</v>
      </c>
      <c r="D63" s="29">
        <f t="shared" si="11"/>
        <v>0</v>
      </c>
      <c r="E63" s="29"/>
      <c r="F63" s="16">
        <f t="shared" si="12"/>
        <v>0</v>
      </c>
      <c r="G63" s="16"/>
      <c r="H63" s="16"/>
      <c r="I63" s="17"/>
      <c r="J63" s="16"/>
      <c r="K63" s="14"/>
      <c r="L63" s="14"/>
      <c r="M63" s="62"/>
    </row>
    <row r="64" spans="1:13" ht="21" customHeight="1">
      <c r="A64" s="16" t="s">
        <v>52</v>
      </c>
      <c r="B64" s="16">
        <f t="shared" si="10"/>
        <v>0</v>
      </c>
      <c r="C64" s="28"/>
      <c r="D64" s="29">
        <f t="shared" si="11"/>
        <v>0</v>
      </c>
      <c r="E64" s="29"/>
      <c r="F64" s="16">
        <f t="shared" si="12"/>
        <v>0</v>
      </c>
      <c r="G64" s="16"/>
      <c r="H64" s="16"/>
      <c r="I64" s="17"/>
      <c r="J64" s="16"/>
      <c r="K64" s="16"/>
      <c r="L64" s="14"/>
      <c r="M64" s="62"/>
    </row>
    <row r="65" spans="1:13" ht="21" customHeight="1">
      <c r="A65" s="16" t="s">
        <v>48</v>
      </c>
      <c r="B65" s="16">
        <f t="shared" si="10"/>
        <v>0</v>
      </c>
      <c r="C65" s="28">
        <v>45151982.03</v>
      </c>
      <c r="D65" s="29">
        <f t="shared" si="11"/>
        <v>0</v>
      </c>
      <c r="E65" s="29"/>
      <c r="F65" s="16">
        <f t="shared" si="12"/>
        <v>0</v>
      </c>
      <c r="G65" s="16"/>
      <c r="I65" s="16"/>
      <c r="J65" s="16"/>
      <c r="K65" s="16"/>
      <c r="L65" s="16"/>
      <c r="M65" s="49"/>
    </row>
    <row r="66" spans="1:13" ht="21" customHeight="1">
      <c r="A66" s="16" t="s">
        <v>53</v>
      </c>
      <c r="B66" s="16">
        <f t="shared" si="10"/>
        <v>0</v>
      </c>
      <c r="C66" s="28">
        <v>17266280</v>
      </c>
      <c r="D66" s="29">
        <f t="shared" si="11"/>
        <v>0</v>
      </c>
      <c r="E66" s="29"/>
      <c r="F66" s="16">
        <f t="shared" si="12"/>
        <v>0</v>
      </c>
      <c r="G66" s="16"/>
      <c r="H66" s="16"/>
      <c r="I66" s="17"/>
      <c r="J66" s="16"/>
      <c r="K66" s="14"/>
      <c r="L66" s="14"/>
      <c r="M66" s="62"/>
    </row>
    <row r="67" spans="1:13" ht="21" customHeight="1">
      <c r="A67" s="16" t="s">
        <v>54</v>
      </c>
      <c r="B67" s="16">
        <f t="shared" si="10"/>
        <v>0</v>
      </c>
      <c r="C67" s="28"/>
      <c r="D67" s="29">
        <f t="shared" si="11"/>
        <v>0</v>
      </c>
      <c r="E67" s="29"/>
      <c r="F67" s="16">
        <f t="shared" si="12"/>
        <v>0</v>
      </c>
      <c r="H67" s="16"/>
      <c r="I67" s="17"/>
      <c r="J67" s="16"/>
      <c r="K67" s="14"/>
      <c r="L67" s="14"/>
      <c r="M67" s="62"/>
    </row>
    <row r="68" spans="1:59" s="11" customFormat="1" ht="21" customHeight="1">
      <c r="A68" s="16" t="s">
        <v>47</v>
      </c>
      <c r="B68" s="16">
        <f t="shared" si="10"/>
        <v>98860595</v>
      </c>
      <c r="C68" s="31">
        <v>98860595</v>
      </c>
      <c r="D68" s="29">
        <f t="shared" si="11"/>
        <v>98860595</v>
      </c>
      <c r="E68" s="29"/>
      <c r="F68" s="16">
        <f t="shared" si="12"/>
        <v>98860595</v>
      </c>
      <c r="G68" s="16"/>
      <c r="H68" s="16">
        <f>C68</f>
        <v>98860595</v>
      </c>
      <c r="I68" s="17"/>
      <c r="J68" s="16"/>
      <c r="K68" s="16"/>
      <c r="L68" s="16"/>
      <c r="M68" s="49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</row>
    <row r="69" spans="1:13" ht="21" customHeight="1">
      <c r="A69" s="14" t="s">
        <v>10</v>
      </c>
      <c r="B69" s="14">
        <f>SUM(B63:B68)</f>
        <v>98860595</v>
      </c>
      <c r="C69" s="33">
        <f>SUM(C62:C68)</f>
        <v>174698937.03</v>
      </c>
      <c r="D69" s="30">
        <f aca="true" t="shared" si="13" ref="D69:M69">SUM(D62:D67)</f>
        <v>0</v>
      </c>
      <c r="E69" s="30">
        <f t="shared" si="13"/>
        <v>0</v>
      </c>
      <c r="F69" s="14">
        <f t="shared" si="13"/>
        <v>0</v>
      </c>
      <c r="G69" s="14">
        <f t="shared" si="13"/>
        <v>0</v>
      </c>
      <c r="H69" s="14">
        <f t="shared" si="13"/>
        <v>0</v>
      </c>
      <c r="I69" s="14">
        <f t="shared" si="13"/>
        <v>0</v>
      </c>
      <c r="J69" s="14">
        <f t="shared" si="13"/>
        <v>0</v>
      </c>
      <c r="K69" s="14">
        <f t="shared" si="13"/>
        <v>0</v>
      </c>
      <c r="L69" s="14">
        <f t="shared" si="13"/>
        <v>0</v>
      </c>
      <c r="M69" s="62">
        <f t="shared" si="13"/>
        <v>0</v>
      </c>
    </row>
    <row r="70" spans="1:59" s="11" customFormat="1" ht="21" customHeight="1">
      <c r="A70" s="16"/>
      <c r="B70" s="16"/>
      <c r="C70" s="28"/>
      <c r="D70" s="29"/>
      <c r="E70" s="29"/>
      <c r="F70" s="16">
        <f>SUM(H70:M70)</f>
        <v>0</v>
      </c>
      <c r="G70" s="16"/>
      <c r="H70" s="16"/>
      <c r="I70" s="17"/>
      <c r="J70" s="14"/>
      <c r="K70" s="16"/>
      <c r="L70" s="16"/>
      <c r="M70" s="49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</row>
    <row r="71" spans="1:59" s="11" customFormat="1" ht="21" customHeight="1">
      <c r="A71" s="14" t="s">
        <v>55</v>
      </c>
      <c r="B71" s="16"/>
      <c r="C71" s="28"/>
      <c r="D71" s="30"/>
      <c r="E71" s="29"/>
      <c r="F71" s="16">
        <f>SUM(H71:M71)</f>
        <v>0</v>
      </c>
      <c r="G71" s="14"/>
      <c r="H71" s="14"/>
      <c r="I71" s="15"/>
      <c r="J71" s="14"/>
      <c r="K71" s="14"/>
      <c r="L71" s="14"/>
      <c r="M71" s="6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</row>
    <row r="72" spans="1:14" s="11" customFormat="1" ht="21" customHeight="1">
      <c r="A72" s="16" t="s">
        <v>56</v>
      </c>
      <c r="B72" s="16">
        <f>F72+G72</f>
        <v>9999708.81</v>
      </c>
      <c r="C72" s="28"/>
      <c r="D72" s="29">
        <f>H72</f>
        <v>9999708.81</v>
      </c>
      <c r="E72" s="29"/>
      <c r="F72" s="16">
        <f aca="true" t="shared" si="14" ref="F72:F88">SUM(H72:M72)</f>
        <v>9999708.81</v>
      </c>
      <c r="G72" s="16"/>
      <c r="H72" s="16">
        <v>9999708.81</v>
      </c>
      <c r="I72" s="18"/>
      <c r="J72" s="16"/>
      <c r="K72" s="16"/>
      <c r="L72" s="16"/>
      <c r="M72" s="16"/>
      <c r="N72" s="14"/>
    </row>
    <row r="73" spans="1:13" ht="21" customHeight="1">
      <c r="A73" s="16" t="s">
        <v>109</v>
      </c>
      <c r="B73" s="16">
        <f aca="true" t="shared" si="15" ref="B73:B88">F73+G73</f>
        <v>0</v>
      </c>
      <c r="C73" s="28"/>
      <c r="D73" s="29">
        <f>F73</f>
        <v>0</v>
      </c>
      <c r="E73" s="29"/>
      <c r="F73" s="16">
        <f t="shared" si="14"/>
        <v>0</v>
      </c>
      <c r="H73" s="16"/>
      <c r="I73" s="16"/>
      <c r="J73" s="16"/>
      <c r="K73" s="16"/>
      <c r="L73" s="16"/>
      <c r="M73" s="49"/>
    </row>
    <row r="74" spans="1:13" ht="21" customHeight="1">
      <c r="A74" s="16" t="s">
        <v>57</v>
      </c>
      <c r="B74" s="16">
        <f t="shared" si="15"/>
        <v>0</v>
      </c>
      <c r="C74" s="28"/>
      <c r="D74" s="29">
        <f>F74</f>
        <v>0</v>
      </c>
      <c r="E74" s="29"/>
      <c r="F74" s="16">
        <f t="shared" si="14"/>
        <v>0</v>
      </c>
      <c r="G74" s="16"/>
      <c r="H74" s="16"/>
      <c r="I74" s="16"/>
      <c r="J74" s="16"/>
      <c r="K74" s="16"/>
      <c r="L74" s="16"/>
      <c r="M74" s="49"/>
    </row>
    <row r="75" spans="1:13" ht="21" customHeight="1">
      <c r="A75" s="16" t="s">
        <v>58</v>
      </c>
      <c r="B75" s="16">
        <f t="shared" si="15"/>
        <v>0</v>
      </c>
      <c r="C75" s="28"/>
      <c r="D75" s="29">
        <f aca="true" t="shared" si="16" ref="D75:D88">F75</f>
        <v>0</v>
      </c>
      <c r="F75" s="16">
        <f t="shared" si="14"/>
        <v>0</v>
      </c>
      <c r="G75" s="16"/>
      <c r="H75" s="16"/>
      <c r="I75" s="16"/>
      <c r="J75" s="16"/>
      <c r="K75" s="16"/>
      <c r="L75" s="16"/>
      <c r="M75" s="49"/>
    </row>
    <row r="76" spans="1:13" ht="21" customHeight="1">
      <c r="A76" s="16" t="s">
        <v>59</v>
      </c>
      <c r="B76" s="16">
        <f t="shared" si="15"/>
        <v>0</v>
      </c>
      <c r="C76" s="28"/>
      <c r="D76" s="29">
        <f t="shared" si="16"/>
        <v>0</v>
      </c>
      <c r="E76" s="29"/>
      <c r="F76" s="16">
        <f t="shared" si="14"/>
        <v>0</v>
      </c>
      <c r="G76" s="16"/>
      <c r="H76" s="16"/>
      <c r="I76" s="17"/>
      <c r="J76" s="16"/>
      <c r="K76" s="16"/>
      <c r="L76" s="16"/>
      <c r="M76" s="49"/>
    </row>
    <row r="77" spans="1:13" ht="21" customHeight="1">
      <c r="A77" s="16" t="s">
        <v>60</v>
      </c>
      <c r="B77" s="16">
        <f>F77+G77</f>
        <v>0</v>
      </c>
      <c r="C77" s="28"/>
      <c r="D77" s="29">
        <f t="shared" si="16"/>
        <v>0</v>
      </c>
      <c r="E77" s="29"/>
      <c r="F77" s="16">
        <f t="shared" si="14"/>
        <v>0</v>
      </c>
      <c r="G77" s="16"/>
      <c r="H77" s="23"/>
      <c r="I77" s="23"/>
      <c r="J77" s="16"/>
      <c r="K77" s="16"/>
      <c r="L77" s="16"/>
      <c r="M77" s="49"/>
    </row>
    <row r="78" spans="1:13" ht="21" customHeight="1">
      <c r="A78" s="16" t="s">
        <v>136</v>
      </c>
      <c r="B78" s="16">
        <f t="shared" si="15"/>
        <v>1262139338.5</v>
      </c>
      <c r="C78" s="28"/>
      <c r="D78" s="29">
        <f t="shared" si="16"/>
        <v>1262139338.5</v>
      </c>
      <c r="E78" s="29"/>
      <c r="F78" s="16">
        <f t="shared" si="14"/>
        <v>1262139338.5</v>
      </c>
      <c r="G78" s="16"/>
      <c r="H78" s="16">
        <f>1674939338.5-412800000</f>
        <v>1262139338.5</v>
      </c>
      <c r="I78" s="16"/>
      <c r="J78" s="16"/>
      <c r="K78" s="16"/>
      <c r="L78" s="16"/>
      <c r="M78" s="49"/>
    </row>
    <row r="79" spans="1:59" ht="21" customHeight="1">
      <c r="A79" s="16" t="s">
        <v>61</v>
      </c>
      <c r="B79" s="16">
        <f t="shared" si="15"/>
        <v>436777565.40220004</v>
      </c>
      <c r="C79" s="28"/>
      <c r="D79" s="29">
        <f t="shared" si="16"/>
        <v>436777565.40220004</v>
      </c>
      <c r="E79" s="29"/>
      <c r="F79" s="16">
        <f t="shared" si="14"/>
        <v>436777565.40220004</v>
      </c>
      <c r="G79" s="16"/>
      <c r="H79" s="16">
        <f>202285.82*2159.21</f>
        <v>436777565.40220004</v>
      </c>
      <c r="I79" s="16"/>
      <c r="J79" s="16"/>
      <c r="K79" s="16"/>
      <c r="L79" s="16"/>
      <c r="M79" s="16"/>
      <c r="N79" s="16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59" ht="21" customHeight="1">
      <c r="A80" s="16" t="s">
        <v>119</v>
      </c>
      <c r="B80" s="16">
        <f t="shared" si="15"/>
        <v>0</v>
      </c>
      <c r="C80" s="28"/>
      <c r="D80" s="29">
        <f>F80</f>
        <v>0</v>
      </c>
      <c r="E80" s="29"/>
      <c r="F80" s="16">
        <f t="shared" si="14"/>
        <v>0</v>
      </c>
      <c r="G80" s="16"/>
      <c r="H80" s="16"/>
      <c r="I80" s="16"/>
      <c r="J80" s="16"/>
      <c r="K80" s="16"/>
      <c r="L80" s="16"/>
      <c r="M80" s="16"/>
      <c r="N80" s="16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59" ht="21" customHeight="1">
      <c r="A81" s="16" t="s">
        <v>62</v>
      </c>
      <c r="B81" s="16">
        <f t="shared" si="15"/>
        <v>2431027592.0592003</v>
      </c>
      <c r="C81" s="28"/>
      <c r="D81" s="29">
        <f>F81</f>
        <v>2431027592.0592003</v>
      </c>
      <c r="E81" s="29"/>
      <c r="F81" s="16">
        <f t="shared" si="14"/>
        <v>2431027592.0592003</v>
      </c>
      <c r="G81" s="16"/>
      <c r="H81" s="16"/>
      <c r="I81" s="16"/>
      <c r="J81" s="16"/>
      <c r="K81" s="16"/>
      <c r="L81" s="16"/>
      <c r="M81" s="16">
        <f>2159.21*1125887.52</f>
        <v>2431027592.0592003</v>
      </c>
      <c r="N81" s="16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</row>
    <row r="82" spans="1:13" ht="21" customHeight="1">
      <c r="A82" s="16" t="s">
        <v>162</v>
      </c>
      <c r="B82" s="16">
        <f t="shared" si="15"/>
        <v>2962557760.6557</v>
      </c>
      <c r="C82" s="28"/>
      <c r="D82" s="29">
        <f t="shared" si="16"/>
        <v>2962557760.6557</v>
      </c>
      <c r="E82" s="29"/>
      <c r="F82" s="16">
        <f t="shared" si="14"/>
        <v>2962557760.6557</v>
      </c>
      <c r="G82" s="19"/>
      <c r="H82" s="16">
        <f>(1352562.29)*2190.33</f>
        <v>2962557760.6557</v>
      </c>
      <c r="I82" s="16"/>
      <c r="K82" s="16"/>
      <c r="L82" s="16"/>
      <c r="M82" s="49"/>
    </row>
    <row r="83" spans="1:59" s="11" customFormat="1" ht="21" customHeight="1">
      <c r="A83" s="16" t="s">
        <v>63</v>
      </c>
      <c r="B83" s="16">
        <f t="shared" si="15"/>
        <v>258000000</v>
      </c>
      <c r="C83" s="28"/>
      <c r="D83" s="29">
        <f t="shared" si="16"/>
        <v>258000000</v>
      </c>
      <c r="E83" s="29"/>
      <c r="F83" s="16">
        <f t="shared" si="14"/>
        <v>258000000</v>
      </c>
      <c r="G83" s="16"/>
      <c r="H83" s="16">
        <f>99000000+159000000</f>
        <v>258000000</v>
      </c>
      <c r="I83" s="16"/>
      <c r="J83" s="16"/>
      <c r="K83" s="16"/>
      <c r="L83" s="16"/>
      <c r="M83" s="49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</row>
    <row r="84" spans="1:59" s="11" customFormat="1" ht="21" customHeight="1">
      <c r="A84" s="16" t="s">
        <v>64</v>
      </c>
      <c r="B84" s="16">
        <f t="shared" si="15"/>
        <v>89000000</v>
      </c>
      <c r="C84" s="28"/>
      <c r="D84" s="29">
        <f t="shared" si="16"/>
        <v>89000000</v>
      </c>
      <c r="E84" s="29"/>
      <c r="F84" s="16">
        <f>H84</f>
        <v>89000000</v>
      </c>
      <c r="G84" s="16"/>
      <c r="H84" s="18">
        <v>89000000</v>
      </c>
      <c r="I84" s="16"/>
      <c r="J84" s="16"/>
      <c r="K84" s="16"/>
      <c r="L84" s="16"/>
      <c r="M84" s="49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s="11" customFormat="1" ht="21" customHeight="1">
      <c r="A85" s="16" t="s">
        <v>65</v>
      </c>
      <c r="B85" s="16">
        <f t="shared" si="15"/>
        <v>0</v>
      </c>
      <c r="C85" s="28"/>
      <c r="D85" s="29">
        <f t="shared" si="16"/>
        <v>0</v>
      </c>
      <c r="E85" s="29"/>
      <c r="F85" s="16">
        <f t="shared" si="14"/>
        <v>0</v>
      </c>
      <c r="G85" s="18"/>
      <c r="H85" s="16"/>
      <c r="I85" s="16"/>
      <c r="J85" s="16"/>
      <c r="K85" s="16"/>
      <c r="L85" s="16"/>
      <c r="M85" s="49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s="11" customFormat="1" ht="21" customHeight="1">
      <c r="A86" s="16" t="s">
        <v>66</v>
      </c>
      <c r="B86" s="16">
        <f t="shared" si="15"/>
        <v>0</v>
      </c>
      <c r="C86" s="28"/>
      <c r="D86" s="29">
        <f t="shared" si="16"/>
        <v>0</v>
      </c>
      <c r="E86" s="29"/>
      <c r="F86" s="16">
        <f t="shared" si="14"/>
        <v>0</v>
      </c>
      <c r="G86" s="16"/>
      <c r="H86" s="16"/>
      <c r="I86" s="17"/>
      <c r="J86" s="16"/>
      <c r="K86" s="16"/>
      <c r="L86" s="16"/>
      <c r="M86" s="49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s="11" customFormat="1" ht="21" customHeight="1">
      <c r="A87" s="16" t="s">
        <v>67</v>
      </c>
      <c r="B87" s="16">
        <f t="shared" si="15"/>
        <v>0</v>
      </c>
      <c r="C87" s="28"/>
      <c r="D87" s="29">
        <f t="shared" si="16"/>
        <v>0</v>
      </c>
      <c r="E87" s="29"/>
      <c r="F87" s="16">
        <f t="shared" si="14"/>
        <v>0</v>
      </c>
      <c r="G87" s="16"/>
      <c r="H87" s="16"/>
      <c r="I87" s="17"/>
      <c r="J87" s="16"/>
      <c r="K87" s="16"/>
      <c r="L87" s="16"/>
      <c r="M87" s="49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s="11" customFormat="1" ht="21" customHeight="1">
      <c r="A88" s="10" t="s">
        <v>68</v>
      </c>
      <c r="B88" s="16">
        <f t="shared" si="15"/>
        <v>0</v>
      </c>
      <c r="C88" s="28"/>
      <c r="D88" s="29">
        <f t="shared" si="16"/>
        <v>0</v>
      </c>
      <c r="E88" s="29"/>
      <c r="F88" s="16">
        <f t="shared" si="14"/>
        <v>0</v>
      </c>
      <c r="G88" s="16"/>
      <c r="H88" s="16"/>
      <c r="I88" s="17"/>
      <c r="J88" s="16"/>
      <c r="K88" s="16"/>
      <c r="L88" s="16"/>
      <c r="M88" s="49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s="11" customFormat="1" ht="21" customHeight="1">
      <c r="A89" s="14" t="s">
        <v>10</v>
      </c>
      <c r="B89" s="14">
        <f>SUM(B72:B88)</f>
        <v>7449501965.427101</v>
      </c>
      <c r="C89" s="14">
        <f aca="true" t="shared" si="17" ref="C89:M89">SUM(C72:C88)</f>
        <v>0</v>
      </c>
      <c r="D89" s="14">
        <f t="shared" si="17"/>
        <v>7449501965.427101</v>
      </c>
      <c r="E89" s="14">
        <f t="shared" si="17"/>
        <v>0</v>
      </c>
      <c r="F89" s="14">
        <f t="shared" si="17"/>
        <v>7449501965.427101</v>
      </c>
      <c r="G89" s="14">
        <f t="shared" si="17"/>
        <v>0</v>
      </c>
      <c r="H89" s="14">
        <f t="shared" si="17"/>
        <v>5018474373.3679</v>
      </c>
      <c r="I89" s="14">
        <f t="shared" si="17"/>
        <v>0</v>
      </c>
      <c r="J89" s="14">
        <f t="shared" si="17"/>
        <v>0</v>
      </c>
      <c r="K89" s="14">
        <f t="shared" si="17"/>
        <v>0</v>
      </c>
      <c r="L89" s="14">
        <f t="shared" si="17"/>
        <v>0</v>
      </c>
      <c r="M89" s="14">
        <f t="shared" si="17"/>
        <v>2431027592.0592003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13" ht="21" customHeight="1">
      <c r="A90" s="16"/>
      <c r="B90" s="16"/>
      <c r="C90" s="28"/>
      <c r="D90" s="29"/>
      <c r="E90" s="29"/>
      <c r="F90" s="16"/>
      <c r="G90" s="16"/>
      <c r="H90" s="16"/>
      <c r="I90" s="17"/>
      <c r="J90" s="16"/>
      <c r="K90" s="16"/>
      <c r="L90" s="16"/>
      <c r="M90" s="49"/>
    </row>
    <row r="91" spans="1:13" ht="21" customHeight="1">
      <c r="A91" s="14" t="s">
        <v>69</v>
      </c>
      <c r="B91" s="16"/>
      <c r="C91" s="28"/>
      <c r="D91" s="30"/>
      <c r="E91" s="29"/>
      <c r="F91" s="16"/>
      <c r="G91" s="14"/>
      <c r="H91" s="14"/>
      <c r="I91" s="15"/>
      <c r="J91" s="14"/>
      <c r="K91" s="14"/>
      <c r="L91" s="14"/>
      <c r="M91" s="62"/>
    </row>
    <row r="92" spans="1:13" ht="21" customHeight="1">
      <c r="A92" s="16" t="s">
        <v>70</v>
      </c>
      <c r="B92" s="16">
        <f>F92+G92</f>
        <v>34223953.24</v>
      </c>
      <c r="C92" s="28"/>
      <c r="D92" s="29">
        <f aca="true" t="shared" si="18" ref="D92:D105">F92</f>
        <v>34223953.24</v>
      </c>
      <c r="E92" s="29"/>
      <c r="F92" s="16">
        <f aca="true" t="shared" si="19" ref="F92:F105">SUM(H92:M92)</f>
        <v>34223953.24</v>
      </c>
      <c r="G92" s="16"/>
      <c r="H92" s="16">
        <f>34223953.24</f>
        <v>34223953.24</v>
      </c>
      <c r="I92" s="17"/>
      <c r="J92" s="16"/>
      <c r="K92" s="16"/>
      <c r="L92" s="16"/>
      <c r="M92" s="49"/>
    </row>
    <row r="93" spans="1:13" ht="21" customHeight="1">
      <c r="A93" s="16" t="s">
        <v>156</v>
      </c>
      <c r="B93" s="16">
        <f aca="true" t="shared" si="20" ref="B93:B103">F93+G93</f>
        <v>38896999.93</v>
      </c>
      <c r="C93" s="28"/>
      <c r="D93" s="29">
        <f t="shared" si="18"/>
        <v>38896999.93</v>
      </c>
      <c r="E93" s="29"/>
      <c r="F93" s="16">
        <f t="shared" si="19"/>
        <v>38896999.93</v>
      </c>
      <c r="G93" s="16"/>
      <c r="H93" s="16">
        <f>38896999.93</f>
        <v>38896999.93</v>
      </c>
      <c r="I93" s="16"/>
      <c r="J93" s="16"/>
      <c r="K93" s="16"/>
      <c r="L93" s="16"/>
      <c r="M93" s="49"/>
    </row>
    <row r="94" spans="1:13" ht="21" customHeight="1">
      <c r="A94" s="16" t="s">
        <v>71</v>
      </c>
      <c r="B94" s="16">
        <f t="shared" si="20"/>
        <v>24702601.91</v>
      </c>
      <c r="C94" s="28"/>
      <c r="D94" s="29">
        <f t="shared" si="18"/>
        <v>24702601.91</v>
      </c>
      <c r="E94" s="29"/>
      <c r="F94" s="16">
        <f t="shared" si="19"/>
        <v>24702601.91</v>
      </c>
      <c r="G94" s="16"/>
      <c r="H94" s="16">
        <v>24702601.91</v>
      </c>
      <c r="I94" s="17"/>
      <c r="J94" s="16"/>
      <c r="K94" s="16"/>
      <c r="L94" s="16"/>
      <c r="M94" s="49"/>
    </row>
    <row r="95" spans="1:13" ht="21" customHeight="1">
      <c r="A95" s="16" t="s">
        <v>158</v>
      </c>
      <c r="B95" s="16">
        <f t="shared" si="20"/>
        <v>13787828</v>
      </c>
      <c r="C95" s="28"/>
      <c r="D95" s="29">
        <f t="shared" si="18"/>
        <v>13787828</v>
      </c>
      <c r="E95" s="29"/>
      <c r="F95" s="16">
        <f t="shared" si="19"/>
        <v>13787828</v>
      </c>
      <c r="G95" s="16"/>
      <c r="H95" s="16">
        <f>13787828</f>
        <v>13787828</v>
      </c>
      <c r="I95" s="16"/>
      <c r="J95" s="16"/>
      <c r="K95" s="16"/>
      <c r="L95" s="16"/>
      <c r="M95" s="49"/>
    </row>
    <row r="96" spans="1:13" ht="21" customHeight="1">
      <c r="A96" s="16" t="s">
        <v>239</v>
      </c>
      <c r="B96" s="16">
        <f t="shared" si="20"/>
        <v>36629999.93</v>
      </c>
      <c r="C96" s="28"/>
      <c r="D96" s="29">
        <f t="shared" si="18"/>
        <v>36629999.93</v>
      </c>
      <c r="E96" s="29"/>
      <c r="F96" s="16">
        <f t="shared" si="19"/>
        <v>36629999.93</v>
      </c>
      <c r="G96" s="16"/>
      <c r="H96" s="16">
        <f>36629999.93</f>
        <v>36629999.93</v>
      </c>
      <c r="I96" s="17"/>
      <c r="J96" s="16"/>
      <c r="K96" s="16"/>
      <c r="L96" s="16"/>
      <c r="M96" s="49"/>
    </row>
    <row r="97" spans="1:13" ht="21" customHeight="1">
      <c r="A97" s="16" t="s">
        <v>72</v>
      </c>
      <c r="B97" s="16">
        <f>F97+G97</f>
        <v>18036848.7</v>
      </c>
      <c r="C97" s="28"/>
      <c r="D97" s="29">
        <f t="shared" si="18"/>
        <v>18036848.7</v>
      </c>
      <c r="E97" s="29"/>
      <c r="F97" s="16">
        <f>SUM(H97:M97)</f>
        <v>18036848.7</v>
      </c>
      <c r="G97" s="16"/>
      <c r="H97" s="16">
        <f>18036848.7</f>
        <v>18036848.7</v>
      </c>
      <c r="I97" s="16"/>
      <c r="J97" s="16"/>
      <c r="K97" s="16"/>
      <c r="L97" s="16"/>
      <c r="M97" s="49"/>
    </row>
    <row r="98" spans="1:13" ht="21" customHeight="1">
      <c r="A98" s="16" t="s">
        <v>73</v>
      </c>
      <c r="B98" s="16">
        <f t="shared" si="20"/>
        <v>6777138.84</v>
      </c>
      <c r="C98" s="28"/>
      <c r="D98" s="29">
        <f t="shared" si="18"/>
        <v>6777138.84</v>
      </c>
      <c r="E98" s="29"/>
      <c r="F98" s="16">
        <f t="shared" si="19"/>
        <v>6777138.84</v>
      </c>
      <c r="G98" s="16"/>
      <c r="H98" s="16">
        <f>6777138.84</f>
        <v>6777138.84</v>
      </c>
      <c r="I98" s="16"/>
      <c r="J98" s="16"/>
      <c r="K98" s="16"/>
      <c r="L98" s="16"/>
      <c r="M98" s="49"/>
    </row>
    <row r="99" spans="1:13" ht="21" customHeight="1">
      <c r="A99" s="16" t="s">
        <v>70</v>
      </c>
      <c r="B99" s="16">
        <f>F99+G99</f>
        <v>82154903.26</v>
      </c>
      <c r="D99" s="29">
        <f t="shared" si="18"/>
        <v>82154903.26</v>
      </c>
      <c r="E99" s="29"/>
      <c r="F99" s="16">
        <f>SUM(H99:M99)</f>
        <v>82154903.26</v>
      </c>
      <c r="G99" s="16"/>
      <c r="H99" s="22">
        <v>82154903.26</v>
      </c>
      <c r="I99" s="16"/>
      <c r="J99" s="16"/>
      <c r="K99" s="16"/>
      <c r="L99" s="16"/>
      <c r="M99" s="49"/>
    </row>
    <row r="100" spans="1:13" ht="21" customHeight="1">
      <c r="A100" s="16" t="s">
        <v>74</v>
      </c>
      <c r="B100" s="16">
        <f>F100+G100</f>
        <v>8385061.99</v>
      </c>
      <c r="C100" s="28"/>
      <c r="D100" s="29">
        <f t="shared" si="18"/>
        <v>8385061.99</v>
      </c>
      <c r="E100" s="29"/>
      <c r="F100" s="16">
        <f t="shared" si="19"/>
        <v>8385061.99</v>
      </c>
      <c r="G100" s="16"/>
      <c r="H100" s="16">
        <f>8385061.99</f>
        <v>8385061.99</v>
      </c>
      <c r="I100" s="17"/>
      <c r="J100" s="16"/>
      <c r="K100" s="16"/>
      <c r="L100" s="16"/>
      <c r="M100" s="49"/>
    </row>
    <row r="101" spans="1:13" ht="21" customHeight="1">
      <c r="A101" s="16" t="s">
        <v>157</v>
      </c>
      <c r="B101" s="16">
        <f t="shared" si="20"/>
        <v>629475</v>
      </c>
      <c r="C101" s="28"/>
      <c r="D101" s="29">
        <f t="shared" si="18"/>
        <v>629475</v>
      </c>
      <c r="E101" s="29"/>
      <c r="F101" s="16">
        <f t="shared" si="19"/>
        <v>629475</v>
      </c>
      <c r="G101" s="16"/>
      <c r="H101" s="16">
        <f>629475</f>
        <v>629475</v>
      </c>
      <c r="I101" s="17"/>
      <c r="J101" s="16"/>
      <c r="K101" s="16"/>
      <c r="L101" s="16"/>
      <c r="M101" s="49"/>
    </row>
    <row r="102" spans="1:13" ht="21" customHeight="1">
      <c r="A102" s="16" t="s">
        <v>71</v>
      </c>
      <c r="B102" s="16">
        <f>F102+G102</f>
        <v>148086788.34</v>
      </c>
      <c r="C102" s="28"/>
      <c r="D102" s="29">
        <f t="shared" si="18"/>
        <v>148086788.34</v>
      </c>
      <c r="E102" s="29"/>
      <c r="F102" s="16">
        <v>148086788.34</v>
      </c>
      <c r="G102" s="16"/>
      <c r="H102" s="16"/>
      <c r="I102" s="17"/>
      <c r="J102" s="16"/>
      <c r="K102" s="16"/>
      <c r="L102" s="16"/>
      <c r="M102" s="49"/>
    </row>
    <row r="103" spans="1:13" ht="21" customHeight="1">
      <c r="A103" s="16" t="s">
        <v>155</v>
      </c>
      <c r="B103" s="16">
        <f t="shared" si="20"/>
        <v>1503473.4</v>
      </c>
      <c r="C103" s="28"/>
      <c r="D103" s="29">
        <f t="shared" si="18"/>
        <v>1503473.4</v>
      </c>
      <c r="E103" s="29"/>
      <c r="F103" s="16">
        <f t="shared" si="19"/>
        <v>1503473.4</v>
      </c>
      <c r="G103" s="16"/>
      <c r="H103" s="16">
        <f>1503473.4</f>
        <v>1503473.4</v>
      </c>
      <c r="I103" s="17"/>
      <c r="J103" s="16"/>
      <c r="K103" s="16"/>
      <c r="L103" s="16"/>
      <c r="M103" s="49"/>
    </row>
    <row r="104" spans="1:13" ht="21" customHeight="1">
      <c r="A104" s="16" t="s">
        <v>156</v>
      </c>
      <c r="B104" s="16">
        <f>F104+G104</f>
        <v>38276999.95</v>
      </c>
      <c r="C104" s="28"/>
      <c r="D104" s="29">
        <f t="shared" si="18"/>
        <v>38276999.95</v>
      </c>
      <c r="E104" s="29"/>
      <c r="F104" s="16">
        <v>38276999.95</v>
      </c>
      <c r="G104" s="16"/>
      <c r="H104" s="16"/>
      <c r="I104" s="17"/>
      <c r="J104" s="16"/>
      <c r="K104" s="16"/>
      <c r="L104" s="16"/>
      <c r="M104" s="49"/>
    </row>
    <row r="105" spans="1:13" ht="21" customHeight="1">
      <c r="A105" s="16" t="s">
        <v>223</v>
      </c>
      <c r="B105" s="16">
        <f>F105+G105</f>
        <v>13222377.9</v>
      </c>
      <c r="C105" s="28"/>
      <c r="D105" s="29">
        <f t="shared" si="18"/>
        <v>13222377.9</v>
      </c>
      <c r="E105" s="29"/>
      <c r="F105" s="16">
        <f t="shared" si="19"/>
        <v>13222377.9</v>
      </c>
      <c r="G105" s="16"/>
      <c r="H105" s="16">
        <f>13222377.9</f>
        <v>13222377.9</v>
      </c>
      <c r="I105" s="16"/>
      <c r="J105" s="16"/>
      <c r="K105" s="16"/>
      <c r="L105" s="16"/>
      <c r="M105" s="49"/>
    </row>
    <row r="106" spans="1:13" ht="21" customHeight="1">
      <c r="A106" s="16" t="s">
        <v>240</v>
      </c>
      <c r="B106" s="16">
        <f aca="true" t="shared" si="21" ref="B106:F107">H106</f>
        <v>4830920</v>
      </c>
      <c r="C106" s="16">
        <f t="shared" si="21"/>
        <v>0</v>
      </c>
      <c r="D106" s="16">
        <f t="shared" si="21"/>
        <v>0</v>
      </c>
      <c r="E106" s="16">
        <f t="shared" si="21"/>
        <v>0</v>
      </c>
      <c r="F106" s="16">
        <f t="shared" si="21"/>
        <v>0</v>
      </c>
      <c r="G106" s="16"/>
      <c r="H106" s="16">
        <f>4830920</f>
        <v>4830920</v>
      </c>
      <c r="I106" s="16"/>
      <c r="J106" s="16"/>
      <c r="K106" s="16"/>
      <c r="L106" s="16"/>
      <c r="M106" s="49"/>
    </row>
    <row r="107" spans="1:13" ht="21" customHeight="1">
      <c r="A107" s="16" t="s">
        <v>241</v>
      </c>
      <c r="B107" s="16">
        <f t="shared" si="21"/>
        <v>12217610.8</v>
      </c>
      <c r="C107" s="16">
        <f t="shared" si="21"/>
        <v>0</v>
      </c>
      <c r="D107" s="16">
        <f t="shared" si="21"/>
        <v>0</v>
      </c>
      <c r="E107" s="16">
        <f t="shared" si="21"/>
        <v>0</v>
      </c>
      <c r="F107" s="16">
        <f t="shared" si="21"/>
        <v>0</v>
      </c>
      <c r="G107" s="16"/>
      <c r="H107" s="16">
        <f>12217610.8</f>
        <v>12217610.8</v>
      </c>
      <c r="I107" s="16"/>
      <c r="J107" s="16"/>
      <c r="K107" s="16"/>
      <c r="L107" s="16"/>
      <c r="M107" s="49"/>
    </row>
    <row r="108" spans="1:13" ht="21" customHeight="1">
      <c r="A108" s="14" t="s">
        <v>10</v>
      </c>
      <c r="B108" s="14">
        <f aca="true" t="shared" si="22" ref="B108:M108">SUM(B91:B107)</f>
        <v>482362981.18999994</v>
      </c>
      <c r="C108" s="14">
        <f t="shared" si="22"/>
        <v>0</v>
      </c>
      <c r="D108" s="14">
        <f t="shared" si="22"/>
        <v>465314450.3899999</v>
      </c>
      <c r="E108" s="14">
        <f t="shared" si="22"/>
        <v>0</v>
      </c>
      <c r="F108" s="14">
        <f t="shared" si="22"/>
        <v>465314450.3899999</v>
      </c>
      <c r="G108" s="14">
        <f t="shared" si="22"/>
        <v>0</v>
      </c>
      <c r="H108" s="14">
        <f t="shared" si="22"/>
        <v>295999192.90000004</v>
      </c>
      <c r="I108" s="14">
        <f t="shared" si="22"/>
        <v>0</v>
      </c>
      <c r="J108" s="14">
        <f t="shared" si="22"/>
        <v>0</v>
      </c>
      <c r="K108" s="14">
        <f t="shared" si="22"/>
        <v>0</v>
      </c>
      <c r="L108" s="14">
        <f t="shared" si="22"/>
        <v>0</v>
      </c>
      <c r="M108" s="14">
        <f t="shared" si="22"/>
        <v>0</v>
      </c>
    </row>
    <row r="109" spans="1:13" ht="21" customHeight="1">
      <c r="A109" s="16"/>
      <c r="B109" s="16"/>
      <c r="C109" s="28"/>
      <c r="D109" s="29"/>
      <c r="E109" s="29"/>
      <c r="F109" s="16">
        <f>SUM(H109:M109)</f>
        <v>0</v>
      </c>
      <c r="G109" s="16"/>
      <c r="H109" s="16"/>
      <c r="I109" s="17"/>
      <c r="J109" s="16"/>
      <c r="K109" s="16"/>
      <c r="L109" s="16"/>
      <c r="M109" s="49"/>
    </row>
    <row r="110" spans="1:13" ht="21" customHeight="1">
      <c r="A110" s="14" t="s">
        <v>75</v>
      </c>
      <c r="B110" s="16"/>
      <c r="C110" s="28"/>
      <c r="D110" s="30"/>
      <c r="E110" s="29"/>
      <c r="F110" s="16"/>
      <c r="G110" s="14"/>
      <c r="H110" s="14"/>
      <c r="I110" s="15"/>
      <c r="J110" s="14"/>
      <c r="K110" s="14"/>
      <c r="L110" s="14"/>
      <c r="M110" s="62"/>
    </row>
    <row r="111" spans="1:13" ht="21" customHeight="1">
      <c r="A111" s="16" t="s">
        <v>76</v>
      </c>
      <c r="B111" s="16">
        <f>F111+G111</f>
        <v>0</v>
      </c>
      <c r="C111" s="28"/>
      <c r="D111" s="29">
        <f>F111</f>
        <v>0</v>
      </c>
      <c r="E111" s="29"/>
      <c r="F111" s="16">
        <f>SUM(H111:M111)</f>
        <v>0</v>
      </c>
      <c r="G111" s="16"/>
      <c r="H111" s="16"/>
      <c r="I111" s="16"/>
      <c r="J111" s="16"/>
      <c r="K111" s="16"/>
      <c r="L111" s="16"/>
      <c r="M111" s="49"/>
    </row>
    <row r="112" spans="1:59" s="11" customFormat="1" ht="21" customHeight="1">
      <c r="A112" s="16" t="s">
        <v>159</v>
      </c>
      <c r="B112" s="16">
        <f aca="true" t="shared" si="23" ref="B112:B135">F112+G112</f>
        <v>0</v>
      </c>
      <c r="C112" s="28"/>
      <c r="D112" s="29">
        <f aca="true" t="shared" si="24" ref="D112:D131">F112</f>
        <v>0</v>
      </c>
      <c r="E112" s="29"/>
      <c r="F112" s="16">
        <f aca="true" t="shared" si="25" ref="F112:F135">SUM(H112:M112)</f>
        <v>0</v>
      </c>
      <c r="G112" s="16"/>
      <c r="H112" s="16"/>
      <c r="I112" s="17"/>
      <c r="J112" s="16"/>
      <c r="K112" s="16"/>
      <c r="L112" s="16"/>
      <c r="M112" s="49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</row>
    <row r="113" spans="1:59" s="11" customFormat="1" ht="21" customHeight="1">
      <c r="A113" s="16" t="s">
        <v>77</v>
      </c>
      <c r="B113" s="16">
        <f t="shared" si="23"/>
        <v>0</v>
      </c>
      <c r="C113" s="28"/>
      <c r="D113" s="29">
        <f t="shared" si="24"/>
        <v>0</v>
      </c>
      <c r="E113" s="29"/>
      <c r="F113" s="16">
        <f t="shared" si="25"/>
        <v>0</v>
      </c>
      <c r="G113" s="16"/>
      <c r="H113" s="16"/>
      <c r="I113" s="17"/>
      <c r="J113" s="16"/>
      <c r="K113" s="16"/>
      <c r="L113" s="16"/>
      <c r="M113" s="49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s="11" customFormat="1" ht="21" customHeight="1">
      <c r="A114" s="16" t="s">
        <v>78</v>
      </c>
      <c r="B114" s="16">
        <f t="shared" si="23"/>
        <v>0</v>
      </c>
      <c r="C114" s="28"/>
      <c r="D114" s="29">
        <f t="shared" si="24"/>
        <v>0</v>
      </c>
      <c r="E114" s="29"/>
      <c r="F114" s="16">
        <f t="shared" si="25"/>
        <v>0</v>
      </c>
      <c r="G114" s="16"/>
      <c r="H114" s="16"/>
      <c r="I114" s="16"/>
      <c r="J114" s="16"/>
      <c r="K114" s="16"/>
      <c r="L114" s="16"/>
      <c r="M114" s="49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s="11" customFormat="1" ht="21" customHeight="1">
      <c r="A115" s="16" t="s">
        <v>79</v>
      </c>
      <c r="B115" s="16">
        <f t="shared" si="23"/>
        <v>0</v>
      </c>
      <c r="C115" s="28"/>
      <c r="D115" s="29">
        <f t="shared" si="24"/>
        <v>0</v>
      </c>
      <c r="E115" s="29"/>
      <c r="F115" s="16">
        <f t="shared" si="25"/>
        <v>0</v>
      </c>
      <c r="G115" s="16"/>
      <c r="H115" s="16"/>
      <c r="I115" s="16"/>
      <c r="J115" s="16"/>
      <c r="K115" s="16"/>
      <c r="L115" s="16"/>
      <c r="M115" s="49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s="11" customFormat="1" ht="21" customHeight="1">
      <c r="A116" s="16" t="s">
        <v>80</v>
      </c>
      <c r="B116" s="16">
        <f t="shared" si="23"/>
        <v>0</v>
      </c>
      <c r="C116" s="28"/>
      <c r="D116" s="29">
        <f t="shared" si="24"/>
        <v>0</v>
      </c>
      <c r="E116" s="29"/>
      <c r="F116" s="16">
        <f t="shared" si="25"/>
        <v>0</v>
      </c>
      <c r="G116" s="16"/>
      <c r="H116" s="16"/>
      <c r="I116" s="16"/>
      <c r="J116" s="16"/>
      <c r="K116" s="16"/>
      <c r="L116" s="16"/>
      <c r="M116" s="49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13" ht="21" customHeight="1">
      <c r="A117" s="10" t="s">
        <v>81</v>
      </c>
      <c r="B117" s="16">
        <f t="shared" si="23"/>
        <v>0</v>
      </c>
      <c r="C117" s="28"/>
      <c r="D117" s="29">
        <f t="shared" si="24"/>
        <v>0</v>
      </c>
      <c r="E117" s="29"/>
      <c r="F117" s="16">
        <f t="shared" si="25"/>
        <v>0</v>
      </c>
      <c r="G117" s="16"/>
      <c r="H117" s="16"/>
      <c r="I117" s="16"/>
      <c r="J117" s="16"/>
      <c r="K117" s="16"/>
      <c r="L117" s="16"/>
      <c r="M117" s="49"/>
    </row>
    <row r="118" spans="1:59" s="11" customFormat="1" ht="21" customHeight="1">
      <c r="A118" s="16" t="s">
        <v>82</v>
      </c>
      <c r="B118" s="16">
        <f t="shared" si="23"/>
        <v>0</v>
      </c>
      <c r="C118" s="28"/>
      <c r="D118" s="29">
        <f t="shared" si="24"/>
        <v>0</v>
      </c>
      <c r="E118" s="29"/>
      <c r="F118" s="16">
        <f t="shared" si="25"/>
        <v>0</v>
      </c>
      <c r="G118" s="16"/>
      <c r="H118" s="16"/>
      <c r="I118" s="16"/>
      <c r="J118" s="16"/>
      <c r="K118" s="16"/>
      <c r="L118" s="16"/>
      <c r="M118" s="49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</row>
    <row r="119" spans="1:59" s="11" customFormat="1" ht="21" customHeight="1">
      <c r="A119" s="16" t="s">
        <v>83</v>
      </c>
      <c r="B119" s="16">
        <f t="shared" si="23"/>
        <v>0</v>
      </c>
      <c r="C119" s="28">
        <v>0</v>
      </c>
      <c r="D119" s="29">
        <f t="shared" si="24"/>
        <v>0</v>
      </c>
      <c r="E119" s="29"/>
      <c r="F119" s="16">
        <f t="shared" si="25"/>
        <v>0</v>
      </c>
      <c r="G119" s="16"/>
      <c r="H119" s="16"/>
      <c r="I119" s="16"/>
      <c r="J119" s="16"/>
      <c r="K119" s="16"/>
      <c r="L119" s="16"/>
      <c r="M119" s="49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</row>
    <row r="120" spans="1:59" s="11" customFormat="1" ht="21" customHeight="1">
      <c r="A120" s="16" t="s">
        <v>84</v>
      </c>
      <c r="B120" s="16">
        <f t="shared" si="23"/>
        <v>0</v>
      </c>
      <c r="C120" s="28">
        <v>0</v>
      </c>
      <c r="D120" s="29">
        <f t="shared" si="24"/>
        <v>0</v>
      </c>
      <c r="E120" s="29"/>
      <c r="F120" s="16">
        <f t="shared" si="25"/>
        <v>0</v>
      </c>
      <c r="G120" s="16"/>
      <c r="H120" s="16"/>
      <c r="I120" s="17"/>
      <c r="J120" s="16"/>
      <c r="K120" s="16"/>
      <c r="L120" s="16"/>
      <c r="M120" s="49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1:59" s="11" customFormat="1" ht="21" customHeight="1">
      <c r="A121" s="16" t="s">
        <v>85</v>
      </c>
      <c r="B121" s="16">
        <f t="shared" si="23"/>
        <v>0</v>
      </c>
      <c r="C121" s="28"/>
      <c r="D121" s="29">
        <f t="shared" si="24"/>
        <v>0</v>
      </c>
      <c r="E121" s="29"/>
      <c r="F121" s="16">
        <f t="shared" si="25"/>
        <v>0</v>
      </c>
      <c r="G121" s="16"/>
      <c r="H121" s="16"/>
      <c r="I121" s="17"/>
      <c r="J121" s="16"/>
      <c r="K121" s="16"/>
      <c r="L121" s="16"/>
      <c r="M121" s="49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s="11" customFormat="1" ht="21" customHeight="1">
      <c r="A122" s="16" t="s">
        <v>86</v>
      </c>
      <c r="B122" s="16">
        <f t="shared" si="23"/>
        <v>0</v>
      </c>
      <c r="C122" s="28"/>
      <c r="D122" s="29">
        <f t="shared" si="24"/>
        <v>0</v>
      </c>
      <c r="E122" s="29"/>
      <c r="F122" s="16">
        <f t="shared" si="25"/>
        <v>0</v>
      </c>
      <c r="G122" s="16"/>
      <c r="H122" s="16"/>
      <c r="I122" s="17"/>
      <c r="J122" s="16"/>
      <c r="K122" s="16"/>
      <c r="L122" s="16"/>
      <c r="M122" s="49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1:59" s="11" customFormat="1" ht="21" customHeight="1">
      <c r="A123" s="16" t="s">
        <v>110</v>
      </c>
      <c r="B123" s="16">
        <f t="shared" si="23"/>
        <v>0</v>
      </c>
      <c r="C123" s="28"/>
      <c r="D123" s="29">
        <f t="shared" si="24"/>
        <v>0</v>
      </c>
      <c r="E123" s="29"/>
      <c r="F123" s="16">
        <f t="shared" si="25"/>
        <v>0</v>
      </c>
      <c r="G123" s="16"/>
      <c r="H123" s="16"/>
      <c r="I123" s="17"/>
      <c r="J123" s="16"/>
      <c r="K123" s="16"/>
      <c r="L123" s="16"/>
      <c r="M123" s="49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s="11" customFormat="1" ht="21" customHeight="1">
      <c r="A124" s="16" t="s">
        <v>87</v>
      </c>
      <c r="B124" s="16">
        <f t="shared" si="23"/>
        <v>0</v>
      </c>
      <c r="C124" s="28"/>
      <c r="D124" s="29">
        <f t="shared" si="24"/>
        <v>0</v>
      </c>
      <c r="E124" s="29"/>
      <c r="F124" s="16">
        <f t="shared" si="25"/>
        <v>0</v>
      </c>
      <c r="H124" s="16"/>
      <c r="I124" s="16"/>
      <c r="J124" s="16"/>
      <c r="K124" s="16"/>
      <c r="L124" s="16"/>
      <c r="M124" s="49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s="11" customFormat="1" ht="21" customHeight="1">
      <c r="A125" s="16" t="s">
        <v>88</v>
      </c>
      <c r="B125" s="16">
        <f t="shared" si="23"/>
        <v>0</v>
      </c>
      <c r="C125" s="28"/>
      <c r="D125" s="29">
        <f t="shared" si="24"/>
        <v>0</v>
      </c>
      <c r="E125" s="29"/>
      <c r="F125" s="16">
        <f t="shared" si="25"/>
        <v>0</v>
      </c>
      <c r="G125" s="16"/>
      <c r="H125" s="16"/>
      <c r="I125" s="17"/>
      <c r="J125" s="16"/>
      <c r="K125" s="16"/>
      <c r="L125" s="16"/>
      <c r="M125" s="49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s="11" customFormat="1" ht="21" customHeight="1">
      <c r="A126" s="16" t="s">
        <v>111</v>
      </c>
      <c r="B126" s="16">
        <f t="shared" si="23"/>
        <v>0</v>
      </c>
      <c r="C126" s="28"/>
      <c r="D126" s="29">
        <f>G126</f>
        <v>0</v>
      </c>
      <c r="E126" s="29"/>
      <c r="F126" s="16">
        <f t="shared" si="25"/>
        <v>0</v>
      </c>
      <c r="G126" s="16"/>
      <c r="H126" s="16"/>
      <c r="I126" s="17"/>
      <c r="J126" s="16"/>
      <c r="K126" s="16"/>
      <c r="L126" s="16"/>
      <c r="M126" s="49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</row>
    <row r="127" spans="1:13" ht="21" customHeight="1">
      <c r="A127" s="16" t="s">
        <v>89</v>
      </c>
      <c r="B127" s="16">
        <f t="shared" si="23"/>
        <v>0</v>
      </c>
      <c r="C127" s="28"/>
      <c r="D127" s="29">
        <f t="shared" si="24"/>
        <v>0</v>
      </c>
      <c r="E127" s="29"/>
      <c r="F127" s="16">
        <f t="shared" si="25"/>
        <v>0</v>
      </c>
      <c r="G127" s="16"/>
      <c r="H127" s="16"/>
      <c r="I127" s="16"/>
      <c r="J127" s="16"/>
      <c r="K127" s="16"/>
      <c r="L127" s="16"/>
      <c r="M127" s="49"/>
    </row>
    <row r="128" spans="1:13" ht="21" customHeight="1">
      <c r="A128" s="16" t="s">
        <v>90</v>
      </c>
      <c r="B128" s="16">
        <f t="shared" si="23"/>
        <v>0</v>
      </c>
      <c r="C128" s="28"/>
      <c r="D128" s="29">
        <f t="shared" si="24"/>
        <v>0</v>
      </c>
      <c r="E128" s="29"/>
      <c r="F128" s="16">
        <f t="shared" si="25"/>
        <v>0</v>
      </c>
      <c r="G128" s="16"/>
      <c r="H128" s="16"/>
      <c r="I128" s="16"/>
      <c r="J128" s="16"/>
      <c r="K128" s="16"/>
      <c r="L128" s="16"/>
      <c r="M128" s="49"/>
    </row>
    <row r="129" spans="1:59" s="11" customFormat="1" ht="21" customHeight="1">
      <c r="A129" s="16" t="s">
        <v>91</v>
      </c>
      <c r="B129" s="16">
        <f t="shared" si="23"/>
        <v>0</v>
      </c>
      <c r="C129" s="28"/>
      <c r="D129" s="29">
        <f t="shared" si="24"/>
        <v>0</v>
      </c>
      <c r="E129" s="29"/>
      <c r="F129" s="16">
        <f t="shared" si="25"/>
        <v>0</v>
      </c>
      <c r="G129" s="16"/>
      <c r="H129" s="16"/>
      <c r="I129" s="17"/>
      <c r="J129" s="16"/>
      <c r="K129" s="16"/>
      <c r="L129" s="16"/>
      <c r="M129" s="49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</row>
    <row r="130" spans="1:59" s="11" customFormat="1" ht="21" customHeight="1">
      <c r="A130" s="16" t="s">
        <v>92</v>
      </c>
      <c r="B130" s="16">
        <f t="shared" si="23"/>
        <v>0</v>
      </c>
      <c r="C130" s="28"/>
      <c r="D130" s="29">
        <f t="shared" si="24"/>
        <v>0</v>
      </c>
      <c r="E130" s="29"/>
      <c r="F130" s="16">
        <f t="shared" si="25"/>
        <v>0</v>
      </c>
      <c r="G130" s="16"/>
      <c r="H130" s="16"/>
      <c r="I130" s="17"/>
      <c r="J130" s="16"/>
      <c r="K130" s="16"/>
      <c r="L130" s="16"/>
      <c r="M130" s="49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</row>
    <row r="131" spans="1:59" s="11" customFormat="1" ht="21" customHeight="1">
      <c r="A131" s="16" t="s">
        <v>93</v>
      </c>
      <c r="B131" s="16">
        <f t="shared" si="23"/>
        <v>0</v>
      </c>
      <c r="C131" s="28"/>
      <c r="D131" s="29">
        <f t="shared" si="24"/>
        <v>0</v>
      </c>
      <c r="E131" s="29"/>
      <c r="F131" s="16">
        <f t="shared" si="25"/>
        <v>0</v>
      </c>
      <c r="G131" s="16"/>
      <c r="H131" s="16"/>
      <c r="I131" s="17"/>
      <c r="J131" s="16"/>
      <c r="K131" s="16"/>
      <c r="L131" s="16"/>
      <c r="M131" s="49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</row>
    <row r="132" spans="1:59" s="11" customFormat="1" ht="21" customHeight="1">
      <c r="A132" s="16" t="s">
        <v>234</v>
      </c>
      <c r="B132" s="16">
        <f t="shared" si="23"/>
        <v>17103524.16</v>
      </c>
      <c r="C132" s="28"/>
      <c r="D132" s="29"/>
      <c r="E132" s="29"/>
      <c r="F132" s="16">
        <f>17103524.16</f>
        <v>17103524.16</v>
      </c>
      <c r="G132" s="16"/>
      <c r="H132" s="16"/>
      <c r="I132" s="17"/>
      <c r="J132" s="16"/>
      <c r="K132" s="16"/>
      <c r="L132" s="16"/>
      <c r="M132" s="49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</row>
    <row r="133" spans="1:59" s="11" customFormat="1" ht="21" customHeight="1">
      <c r="A133" s="16" t="s">
        <v>116</v>
      </c>
      <c r="B133" s="16">
        <f t="shared" si="23"/>
        <v>0</v>
      </c>
      <c r="C133" s="28"/>
      <c r="D133" s="29"/>
      <c r="E133" s="29"/>
      <c r="F133" s="16">
        <f t="shared" si="25"/>
        <v>0</v>
      </c>
      <c r="G133" s="16"/>
      <c r="H133" s="16"/>
      <c r="I133" s="17"/>
      <c r="J133" s="16"/>
      <c r="K133" s="16"/>
      <c r="L133" s="16"/>
      <c r="M133" s="49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</row>
    <row r="134" spans="1:59" s="11" customFormat="1" ht="21" customHeight="1">
      <c r="A134" s="16" t="s">
        <v>117</v>
      </c>
      <c r="B134" s="16">
        <f t="shared" si="23"/>
        <v>0</v>
      </c>
      <c r="C134" s="28"/>
      <c r="D134" s="29"/>
      <c r="E134" s="29"/>
      <c r="F134" s="16">
        <f t="shared" si="25"/>
        <v>0</v>
      </c>
      <c r="G134" s="16"/>
      <c r="H134" s="16"/>
      <c r="I134" s="17"/>
      <c r="J134" s="16"/>
      <c r="K134" s="16"/>
      <c r="L134" s="16"/>
      <c r="M134" s="49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</row>
    <row r="135" spans="1:59" s="11" customFormat="1" ht="21" customHeight="1">
      <c r="A135" s="16" t="s">
        <v>118</v>
      </c>
      <c r="B135" s="16">
        <f t="shared" si="23"/>
        <v>0</v>
      </c>
      <c r="C135" s="28"/>
      <c r="D135" s="29"/>
      <c r="E135" s="29"/>
      <c r="F135" s="16">
        <f t="shared" si="25"/>
        <v>0</v>
      </c>
      <c r="G135" s="16"/>
      <c r="H135" s="16"/>
      <c r="I135" s="17"/>
      <c r="J135" s="16"/>
      <c r="K135" s="16"/>
      <c r="L135" s="16"/>
      <c r="M135" s="49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</row>
    <row r="136" spans="1:59" s="11" customFormat="1" ht="21" customHeight="1">
      <c r="A136" s="14" t="s">
        <v>10</v>
      </c>
      <c r="B136" s="14">
        <f>SUM(B111:B133)</f>
        <v>17103524.16</v>
      </c>
      <c r="C136" s="33">
        <f aca="true" t="shared" si="26" ref="C136:M136">SUM(C111:C131)</f>
        <v>0</v>
      </c>
      <c r="D136" s="30">
        <f t="shared" si="26"/>
        <v>0</v>
      </c>
      <c r="E136" s="30">
        <f t="shared" si="26"/>
        <v>0</v>
      </c>
      <c r="F136" s="14">
        <f t="shared" si="26"/>
        <v>0</v>
      </c>
      <c r="G136" s="14">
        <f t="shared" si="26"/>
        <v>0</v>
      </c>
      <c r="H136" s="14">
        <f t="shared" si="26"/>
        <v>0</v>
      </c>
      <c r="I136" s="14">
        <f t="shared" si="26"/>
        <v>0</v>
      </c>
      <c r="J136" s="14">
        <f t="shared" si="26"/>
        <v>0</v>
      </c>
      <c r="K136" s="14">
        <f t="shared" si="26"/>
        <v>0</v>
      </c>
      <c r="L136" s="14">
        <f t="shared" si="26"/>
        <v>0</v>
      </c>
      <c r="M136" s="62">
        <f t="shared" si="26"/>
        <v>0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</row>
    <row r="137" spans="1:59" s="11" customFormat="1" ht="21" customHeight="1">
      <c r="A137" s="16"/>
      <c r="B137" s="16"/>
      <c r="C137" s="28"/>
      <c r="D137" s="29"/>
      <c r="E137" s="29"/>
      <c r="F137" s="16"/>
      <c r="G137" s="16"/>
      <c r="H137" s="16"/>
      <c r="I137" s="17"/>
      <c r="J137" s="16"/>
      <c r="K137" s="16"/>
      <c r="L137" s="16"/>
      <c r="M137" s="49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</row>
    <row r="138" spans="1:59" s="11" customFormat="1" ht="21" customHeight="1">
      <c r="A138" s="14" t="s">
        <v>94</v>
      </c>
      <c r="B138" s="16"/>
      <c r="C138" s="28"/>
      <c r="D138" s="29"/>
      <c r="E138" s="29"/>
      <c r="F138" s="16"/>
      <c r="G138" s="14"/>
      <c r="H138" s="14"/>
      <c r="I138" s="15"/>
      <c r="J138" s="14"/>
      <c r="K138" s="14"/>
      <c r="L138" s="14"/>
      <c r="M138" s="62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</row>
    <row r="139" spans="1:13" ht="21" customHeight="1">
      <c r="A139" s="16" t="s">
        <v>160</v>
      </c>
      <c r="B139" s="16">
        <f aca="true" t="shared" si="27" ref="B139:B145">F139+G139</f>
        <v>24192724</v>
      </c>
      <c r="C139" s="28"/>
      <c r="D139" s="29">
        <f>F139</f>
        <v>24192724</v>
      </c>
      <c r="E139" s="29"/>
      <c r="F139" s="16">
        <f aca="true" t="shared" si="28" ref="F139:F146">SUM(H139:M139)</f>
        <v>24192724</v>
      </c>
      <c r="G139" s="16"/>
      <c r="H139" s="16">
        <v>24192724</v>
      </c>
      <c r="I139" s="16"/>
      <c r="J139" s="16"/>
      <c r="K139" s="16"/>
      <c r="L139" s="16"/>
      <c r="M139" s="49"/>
    </row>
    <row r="140" spans="1:13" ht="21" customHeight="1">
      <c r="A140" s="16" t="s">
        <v>230</v>
      </c>
      <c r="B140" s="16">
        <f t="shared" si="27"/>
        <v>0</v>
      </c>
      <c r="C140" s="28"/>
      <c r="D140" s="29">
        <f>F140</f>
        <v>0</v>
      </c>
      <c r="E140" s="29"/>
      <c r="F140" s="16">
        <f t="shared" si="28"/>
        <v>0</v>
      </c>
      <c r="G140" s="16"/>
      <c r="H140" s="16"/>
      <c r="I140" s="17"/>
      <c r="J140" s="16"/>
      <c r="K140" s="16"/>
      <c r="L140" s="16"/>
      <c r="M140" s="49"/>
    </row>
    <row r="141" spans="1:12" ht="21" customHeight="1">
      <c r="A141" s="16" t="s">
        <v>228</v>
      </c>
      <c r="B141" s="16">
        <f t="shared" si="27"/>
        <v>0</v>
      </c>
      <c r="C141" s="28"/>
      <c r="D141" s="29">
        <f>F141</f>
        <v>0</v>
      </c>
      <c r="F141" s="16">
        <f t="shared" si="28"/>
        <v>0</v>
      </c>
      <c r="I141" s="16"/>
      <c r="J141" s="16"/>
      <c r="K141" s="16"/>
      <c r="L141" s="16"/>
    </row>
    <row r="142" spans="1:12" ht="21" customHeight="1">
      <c r="A142" s="16" t="s">
        <v>318</v>
      </c>
      <c r="B142" s="16">
        <f>F142</f>
        <v>26550000</v>
      </c>
      <c r="C142" s="28"/>
      <c r="D142" s="29"/>
      <c r="F142" s="16">
        <f>H142</f>
        <v>26550000</v>
      </c>
      <c r="H142" s="18">
        <f>15930000+10620000</f>
        <v>26550000</v>
      </c>
      <c r="I142" s="16"/>
      <c r="J142" s="16"/>
      <c r="K142" s="16"/>
      <c r="L142" s="16"/>
    </row>
    <row r="143" spans="1:13" ht="21" customHeight="1">
      <c r="A143" s="16" t="s">
        <v>161</v>
      </c>
      <c r="B143" s="16">
        <f t="shared" si="27"/>
        <v>0</v>
      </c>
      <c r="C143" s="28"/>
      <c r="D143" s="29">
        <f>F143</f>
        <v>0</v>
      </c>
      <c r="E143" s="29"/>
      <c r="F143" s="16">
        <f t="shared" si="28"/>
        <v>0</v>
      </c>
      <c r="G143" s="16"/>
      <c r="H143" s="16"/>
      <c r="I143" s="17"/>
      <c r="J143" s="16"/>
      <c r="K143" s="16"/>
      <c r="L143" s="16"/>
      <c r="M143" s="49"/>
    </row>
    <row r="144" spans="1:13" ht="21" customHeight="1">
      <c r="A144" s="16" t="s">
        <v>229</v>
      </c>
      <c r="B144" s="16">
        <f t="shared" si="27"/>
        <v>5383380</v>
      </c>
      <c r="C144" s="28"/>
      <c r="D144" s="29">
        <f>F144</f>
        <v>5383380</v>
      </c>
      <c r="E144" s="29"/>
      <c r="F144" s="16">
        <f t="shared" si="28"/>
        <v>5383380</v>
      </c>
      <c r="G144" s="16"/>
      <c r="H144" s="16">
        <v>5383380</v>
      </c>
      <c r="I144" s="17"/>
      <c r="J144" s="16"/>
      <c r="K144" s="16"/>
      <c r="L144" s="16"/>
      <c r="M144" s="49"/>
    </row>
    <row r="145" spans="1:13" ht="21" customHeight="1">
      <c r="A145" s="16" t="s">
        <v>268</v>
      </c>
      <c r="B145" s="16">
        <f t="shared" si="27"/>
        <v>0</v>
      </c>
      <c r="C145" s="28"/>
      <c r="D145" s="29"/>
      <c r="E145" s="29"/>
      <c r="F145" s="16">
        <f t="shared" si="28"/>
        <v>0</v>
      </c>
      <c r="G145" s="16"/>
      <c r="H145" s="16"/>
      <c r="I145" s="17"/>
      <c r="J145" s="16"/>
      <c r="K145" s="16"/>
      <c r="L145" s="16"/>
      <c r="M145" s="49"/>
    </row>
    <row r="146" spans="1:13" ht="21" customHeight="1">
      <c r="A146" s="16" t="s">
        <v>227</v>
      </c>
      <c r="B146" s="16"/>
      <c r="C146" s="28"/>
      <c r="D146" s="29"/>
      <c r="E146" s="29"/>
      <c r="F146" s="16">
        <f t="shared" si="28"/>
        <v>0</v>
      </c>
      <c r="G146" s="16"/>
      <c r="H146" s="16"/>
      <c r="I146" s="17"/>
      <c r="J146" s="16"/>
      <c r="K146" s="16"/>
      <c r="L146" s="16"/>
      <c r="M146" s="49"/>
    </row>
    <row r="147" spans="1:59" s="11" customFormat="1" ht="21" customHeight="1">
      <c r="A147" s="14" t="s">
        <v>10</v>
      </c>
      <c r="B147" s="14">
        <f aca="true" t="shared" si="29" ref="B147:M147">SUM(B138:B146)</f>
        <v>56126104</v>
      </c>
      <c r="C147" s="14">
        <f t="shared" si="29"/>
        <v>0</v>
      </c>
      <c r="D147" s="14">
        <f t="shared" si="29"/>
        <v>29576104</v>
      </c>
      <c r="E147" s="14">
        <f t="shared" si="29"/>
        <v>0</v>
      </c>
      <c r="F147" s="14">
        <f t="shared" si="29"/>
        <v>56126104</v>
      </c>
      <c r="G147" s="14">
        <f t="shared" si="29"/>
        <v>0</v>
      </c>
      <c r="H147" s="14">
        <f t="shared" si="29"/>
        <v>56126104</v>
      </c>
      <c r="I147" s="14">
        <f t="shared" si="29"/>
        <v>0</v>
      </c>
      <c r="J147" s="14">
        <f t="shared" si="29"/>
        <v>0</v>
      </c>
      <c r="K147" s="14">
        <f t="shared" si="29"/>
        <v>0</v>
      </c>
      <c r="L147" s="14">
        <f t="shared" si="29"/>
        <v>0</v>
      </c>
      <c r="M147" s="14">
        <f t="shared" si="29"/>
        <v>0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</row>
    <row r="148" spans="1:59" s="11" customFormat="1" ht="21" customHeight="1">
      <c r="A148" s="14"/>
      <c r="B148" s="16"/>
      <c r="C148" s="28"/>
      <c r="D148" s="30"/>
      <c r="E148" s="29"/>
      <c r="F148" s="16"/>
      <c r="G148" s="14"/>
      <c r="H148" s="14"/>
      <c r="I148" s="15"/>
      <c r="J148" s="14"/>
      <c r="K148" s="14"/>
      <c r="L148" s="14"/>
      <c r="M148" s="62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</row>
    <row r="149" spans="1:59" s="11" customFormat="1" ht="21" customHeight="1">
      <c r="A149" s="14" t="s">
        <v>95</v>
      </c>
      <c r="B149" s="16"/>
      <c r="C149" s="28"/>
      <c r="D149" s="30"/>
      <c r="E149" s="29"/>
      <c r="F149" s="16"/>
      <c r="G149" s="14"/>
      <c r="H149" s="14"/>
      <c r="I149" s="15"/>
      <c r="J149" s="14"/>
      <c r="K149" s="14"/>
      <c r="L149" s="14"/>
      <c r="M149" s="62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</row>
    <row r="150" spans="1:59" s="11" customFormat="1" ht="21" customHeight="1">
      <c r="A150" s="16" t="s">
        <v>350</v>
      </c>
      <c r="B150" s="16"/>
      <c r="C150" s="28"/>
      <c r="D150" s="29">
        <f>F150</f>
        <v>0</v>
      </c>
      <c r="E150" s="29"/>
      <c r="F150" s="16"/>
      <c r="G150" s="14"/>
      <c r="H150" s="16"/>
      <c r="I150" s="15"/>
      <c r="J150" s="14"/>
      <c r="K150" s="14"/>
      <c r="L150" s="14"/>
      <c r="M150" s="62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</row>
    <row r="151" spans="1:59" s="20" customFormat="1" ht="21" customHeight="1">
      <c r="A151" s="17" t="s">
        <v>351</v>
      </c>
      <c r="B151" s="16">
        <f aca="true" t="shared" si="30" ref="B151:B174">F151+G151</f>
        <v>11750222</v>
      </c>
      <c r="C151" s="28"/>
      <c r="D151" s="29">
        <f aca="true" t="shared" si="31" ref="D151:D175">F151</f>
        <v>11750222</v>
      </c>
      <c r="E151" s="35"/>
      <c r="F151" s="16">
        <f>H151</f>
        <v>11750222</v>
      </c>
      <c r="G151" s="17"/>
      <c r="H151" s="17">
        <v>11750222</v>
      </c>
      <c r="I151" s="17"/>
      <c r="J151" s="17"/>
      <c r="K151" s="17"/>
      <c r="L151" s="17"/>
      <c r="M151" s="65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</row>
    <row r="152" spans="1:59" s="20" customFormat="1" ht="21" customHeight="1">
      <c r="A152" s="17" t="s">
        <v>270</v>
      </c>
      <c r="B152" s="16">
        <f t="shared" si="30"/>
        <v>0</v>
      </c>
      <c r="C152" s="28"/>
      <c r="D152" s="29">
        <f t="shared" si="31"/>
        <v>0</v>
      </c>
      <c r="E152" s="35"/>
      <c r="F152" s="16">
        <f aca="true" t="shared" si="32" ref="F152:F172">SUM(H152:M152)</f>
        <v>0</v>
      </c>
      <c r="G152" s="17"/>
      <c r="H152" s="17"/>
      <c r="I152" s="17"/>
      <c r="J152" s="17"/>
      <c r="K152" s="17"/>
      <c r="L152" s="17"/>
      <c r="M152" s="65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</row>
    <row r="153" spans="1:13" ht="21" customHeight="1">
      <c r="A153" s="16" t="s">
        <v>352</v>
      </c>
      <c r="B153" s="16">
        <f t="shared" si="30"/>
        <v>117904399.94</v>
      </c>
      <c r="C153" s="28"/>
      <c r="D153" s="29">
        <f t="shared" si="31"/>
        <v>117904399.94</v>
      </c>
      <c r="E153" s="29"/>
      <c r="F153" s="16">
        <f t="shared" si="32"/>
        <v>117904399.94</v>
      </c>
      <c r="G153" s="16"/>
      <c r="H153" s="16">
        <v>117904399.94</v>
      </c>
      <c r="I153" s="17"/>
      <c r="J153" s="16"/>
      <c r="K153" s="16"/>
      <c r="L153" s="16"/>
      <c r="M153" s="49"/>
    </row>
    <row r="154" spans="1:13" ht="21" customHeight="1">
      <c r="A154" s="16" t="s">
        <v>282</v>
      </c>
      <c r="B154" s="16">
        <f t="shared" si="30"/>
        <v>0</v>
      </c>
      <c r="C154" s="28"/>
      <c r="D154" s="29"/>
      <c r="E154" s="29"/>
      <c r="F154" s="16"/>
      <c r="G154" s="16"/>
      <c r="H154" s="16"/>
      <c r="I154" s="16"/>
      <c r="J154" s="16"/>
      <c r="K154" s="16"/>
      <c r="L154" s="16"/>
      <c r="M154" s="49"/>
    </row>
    <row r="155" spans="1:13" ht="21" customHeight="1">
      <c r="A155" s="16" t="s">
        <v>271</v>
      </c>
      <c r="B155" s="16">
        <f>F155+G155</f>
        <v>384701886.14</v>
      </c>
      <c r="C155" s="28"/>
      <c r="D155" s="29">
        <f t="shared" si="31"/>
        <v>384701886.14</v>
      </c>
      <c r="E155" s="29"/>
      <c r="F155" s="16">
        <f>684701886.14-300000000</f>
        <v>384701886.14</v>
      </c>
      <c r="G155" s="16"/>
      <c r="H155" s="16">
        <v>254701886.14</v>
      </c>
      <c r="I155" s="17"/>
      <c r="J155" s="16"/>
      <c r="K155" s="16"/>
      <c r="L155" s="16"/>
      <c r="M155" s="49"/>
    </row>
    <row r="156" spans="1:13" ht="21" customHeight="1">
      <c r="A156" s="16" t="s">
        <v>154</v>
      </c>
      <c r="B156" s="16">
        <f t="shared" si="30"/>
        <v>0</v>
      </c>
      <c r="C156" s="28"/>
      <c r="D156" s="29">
        <f t="shared" si="31"/>
        <v>0</v>
      </c>
      <c r="E156" s="29"/>
      <c r="F156" s="16">
        <f t="shared" si="32"/>
        <v>0</v>
      </c>
      <c r="G156" s="16"/>
      <c r="H156" s="16"/>
      <c r="I156" s="16"/>
      <c r="J156" s="16"/>
      <c r="K156" s="16"/>
      <c r="L156" s="16"/>
      <c r="M156" s="49"/>
    </row>
    <row r="157" spans="1:13" ht="21" customHeight="1">
      <c r="A157" s="10" t="s">
        <v>81</v>
      </c>
      <c r="B157" s="16">
        <f t="shared" si="30"/>
        <v>145858795</v>
      </c>
      <c r="C157" s="28">
        <v>0</v>
      </c>
      <c r="D157" s="29">
        <f t="shared" si="31"/>
        <v>145858795</v>
      </c>
      <c r="E157" s="29"/>
      <c r="F157" s="16">
        <f t="shared" si="32"/>
        <v>145858795</v>
      </c>
      <c r="G157" s="16"/>
      <c r="H157" s="16">
        <v>145858795</v>
      </c>
      <c r="I157" s="17"/>
      <c r="J157" s="16"/>
      <c r="K157" s="16"/>
      <c r="L157" s="16"/>
      <c r="M157" s="49"/>
    </row>
    <row r="158" spans="1:13" ht="21" customHeight="1">
      <c r="A158" s="10" t="s">
        <v>272</v>
      </c>
      <c r="B158" s="16">
        <f t="shared" si="30"/>
        <v>0</v>
      </c>
      <c r="C158" s="28"/>
      <c r="D158" s="29">
        <f t="shared" si="31"/>
        <v>0</v>
      </c>
      <c r="E158" s="29"/>
      <c r="F158" s="16">
        <f t="shared" si="32"/>
        <v>0</v>
      </c>
      <c r="G158" s="16"/>
      <c r="H158" s="16"/>
      <c r="I158" s="17"/>
      <c r="J158" s="16"/>
      <c r="K158" s="16"/>
      <c r="L158" s="16"/>
      <c r="M158" s="49"/>
    </row>
    <row r="159" spans="1:13" ht="21" customHeight="1">
      <c r="A159" s="10" t="s">
        <v>349</v>
      </c>
      <c r="B159" s="16">
        <f t="shared" si="30"/>
        <v>0</v>
      </c>
      <c r="C159" s="17">
        <f>G159+H159</f>
        <v>0</v>
      </c>
      <c r="D159" s="17">
        <f>H159+I159</f>
        <v>0</v>
      </c>
      <c r="E159" s="17">
        <f>I159+J159</f>
        <v>0</v>
      </c>
      <c r="F159" s="16">
        <f>H159</f>
        <v>0</v>
      </c>
      <c r="G159" s="16"/>
      <c r="H159" s="16"/>
      <c r="I159" s="17"/>
      <c r="J159" s="16"/>
      <c r="K159" s="16"/>
      <c r="L159" s="16"/>
      <c r="M159" s="49"/>
    </row>
    <row r="160" spans="1:13" ht="21" customHeight="1">
      <c r="A160" s="10" t="s">
        <v>153</v>
      </c>
      <c r="B160" s="16">
        <f t="shared" si="30"/>
        <v>289945148</v>
      </c>
      <c r="C160" s="28"/>
      <c r="D160" s="29"/>
      <c r="E160" s="29"/>
      <c r="F160" s="16">
        <f t="shared" si="32"/>
        <v>289945148</v>
      </c>
      <c r="G160" s="16"/>
      <c r="H160" s="16">
        <v>154897196</v>
      </c>
      <c r="I160" s="17"/>
      <c r="J160" s="16"/>
      <c r="K160" s="16"/>
      <c r="L160" s="16">
        <v>74897196</v>
      </c>
      <c r="M160" s="49">
        <v>60150756</v>
      </c>
    </row>
    <row r="161" spans="1:13" ht="21" customHeight="1">
      <c r="A161" s="10" t="s">
        <v>273</v>
      </c>
      <c r="B161" s="16">
        <f t="shared" si="30"/>
        <v>0</v>
      </c>
      <c r="C161" s="28"/>
      <c r="D161" s="29"/>
      <c r="E161" s="29"/>
      <c r="F161" s="16">
        <f t="shared" si="32"/>
        <v>0</v>
      </c>
      <c r="G161" s="16"/>
      <c r="H161" s="16"/>
      <c r="I161" s="17"/>
      <c r="J161" s="16"/>
      <c r="K161" s="16"/>
      <c r="L161" s="16"/>
      <c r="M161" s="49"/>
    </row>
    <row r="162" spans="1:13" ht="21" customHeight="1">
      <c r="A162" s="10" t="s">
        <v>236</v>
      </c>
      <c r="B162" s="16">
        <f t="shared" si="30"/>
        <v>0</v>
      </c>
      <c r="C162" s="28"/>
      <c r="D162" s="29"/>
      <c r="E162" s="29"/>
      <c r="F162" s="16">
        <f t="shared" si="32"/>
        <v>0</v>
      </c>
      <c r="G162" s="16"/>
      <c r="H162" s="16"/>
      <c r="I162" s="17"/>
      <c r="J162" s="16"/>
      <c r="K162" s="16"/>
      <c r="L162" s="16"/>
      <c r="M162" s="49"/>
    </row>
    <row r="163" spans="1:13" ht="21" customHeight="1">
      <c r="A163" s="10" t="s">
        <v>306</v>
      </c>
      <c r="B163" s="16">
        <f>F163+G163</f>
        <v>0</v>
      </c>
      <c r="C163" s="28"/>
      <c r="D163" s="29">
        <f t="shared" si="31"/>
        <v>0</v>
      </c>
      <c r="E163" s="29"/>
      <c r="F163" s="16">
        <f t="shared" si="32"/>
        <v>0</v>
      </c>
      <c r="G163" s="16"/>
      <c r="H163" s="16"/>
      <c r="I163" s="17"/>
      <c r="J163" s="16"/>
      <c r="K163" s="16"/>
      <c r="L163" s="16"/>
      <c r="M163" s="49"/>
    </row>
    <row r="164" spans="1:13" ht="21" customHeight="1">
      <c r="A164" s="10" t="s">
        <v>132</v>
      </c>
      <c r="B164" s="16">
        <f t="shared" si="30"/>
        <v>419000000</v>
      </c>
      <c r="C164" s="28"/>
      <c r="D164" s="29">
        <f t="shared" si="31"/>
        <v>419000000</v>
      </c>
      <c r="E164" s="29"/>
      <c r="F164" s="16">
        <f t="shared" si="32"/>
        <v>419000000</v>
      </c>
      <c r="G164" s="16"/>
      <c r="H164" s="16">
        <v>419000000</v>
      </c>
      <c r="I164" s="17"/>
      <c r="J164" s="16"/>
      <c r="K164" s="16"/>
      <c r="L164" s="16"/>
      <c r="M164" s="49"/>
    </row>
    <row r="165" spans="1:13" ht="21" customHeight="1">
      <c r="A165" s="16" t="s">
        <v>133</v>
      </c>
      <c r="B165" s="16">
        <f t="shared" si="30"/>
        <v>64520000</v>
      </c>
      <c r="C165" s="28">
        <v>0</v>
      </c>
      <c r="D165" s="29">
        <f t="shared" si="31"/>
        <v>64520000</v>
      </c>
      <c r="E165" s="29"/>
      <c r="F165" s="16">
        <f t="shared" si="32"/>
        <v>64520000</v>
      </c>
      <c r="G165" s="16"/>
      <c r="H165" s="16">
        <v>64520000</v>
      </c>
      <c r="I165" s="16"/>
      <c r="J165" s="16"/>
      <c r="K165" s="16"/>
      <c r="L165" s="16"/>
      <c r="M165" s="49"/>
    </row>
    <row r="166" spans="1:13" ht="21" customHeight="1">
      <c r="A166" s="16" t="s">
        <v>305</v>
      </c>
      <c r="B166" s="16">
        <f t="shared" si="30"/>
        <v>0</v>
      </c>
      <c r="C166" s="28"/>
      <c r="D166" s="29">
        <f t="shared" si="31"/>
        <v>0</v>
      </c>
      <c r="E166" s="29"/>
      <c r="F166" s="16">
        <f t="shared" si="32"/>
        <v>0</v>
      </c>
      <c r="G166" s="16"/>
      <c r="H166" s="16"/>
      <c r="I166" s="16"/>
      <c r="J166" s="16"/>
      <c r="K166" s="16"/>
      <c r="L166" s="16"/>
      <c r="M166" s="49"/>
    </row>
    <row r="167" spans="1:13" ht="21" customHeight="1">
      <c r="A167" s="16" t="s">
        <v>274</v>
      </c>
      <c r="B167" s="16">
        <f t="shared" si="30"/>
        <v>0</v>
      </c>
      <c r="C167" s="28"/>
      <c r="D167" s="29">
        <f t="shared" si="31"/>
        <v>0</v>
      </c>
      <c r="E167" s="29"/>
      <c r="F167" s="16">
        <f t="shared" si="32"/>
        <v>0</v>
      </c>
      <c r="G167" s="16"/>
      <c r="H167" s="16"/>
      <c r="I167" s="16"/>
      <c r="J167" s="16"/>
      <c r="K167" s="16"/>
      <c r="L167" s="16"/>
      <c r="M167" s="49"/>
    </row>
    <row r="168" spans="1:13" ht="21" customHeight="1">
      <c r="A168" s="16" t="s">
        <v>275</v>
      </c>
      <c r="B168" s="16">
        <f t="shared" si="30"/>
        <v>550589913.16</v>
      </c>
      <c r="C168" s="28"/>
      <c r="D168" s="29"/>
      <c r="E168" s="29"/>
      <c r="F168" s="16">
        <f t="shared" si="32"/>
        <v>550589913.16</v>
      </c>
      <c r="G168" s="16"/>
      <c r="H168" s="16">
        <f>254996*2159.21</f>
        <v>550589913.16</v>
      </c>
      <c r="I168" s="16"/>
      <c r="J168" s="16"/>
      <c r="K168" s="16"/>
      <c r="L168" s="16"/>
      <c r="M168" s="49"/>
    </row>
    <row r="169" spans="1:13" ht="21" customHeight="1">
      <c r="A169" s="16" t="s">
        <v>134</v>
      </c>
      <c r="B169" s="16">
        <f t="shared" si="30"/>
        <v>24285512</v>
      </c>
      <c r="C169" s="28"/>
      <c r="D169" s="29">
        <f t="shared" si="31"/>
        <v>24285512</v>
      </c>
      <c r="E169" s="29"/>
      <c r="F169" s="16">
        <f t="shared" si="32"/>
        <v>24285512</v>
      </c>
      <c r="G169" s="16"/>
      <c r="H169" s="16">
        <v>24285512</v>
      </c>
      <c r="I169" s="16"/>
      <c r="J169" s="16"/>
      <c r="K169" s="16"/>
      <c r="L169" s="16"/>
      <c r="M169" s="49"/>
    </row>
    <row r="170" spans="1:13" ht="21" customHeight="1">
      <c r="A170" s="16" t="s">
        <v>390</v>
      </c>
      <c r="B170" s="16">
        <f t="shared" si="30"/>
        <v>0</v>
      </c>
      <c r="C170" s="28"/>
      <c r="D170" s="29">
        <f t="shared" si="31"/>
        <v>0</v>
      </c>
      <c r="E170" s="29"/>
      <c r="F170" s="16">
        <f t="shared" si="32"/>
        <v>0</v>
      </c>
      <c r="G170" s="16"/>
      <c r="H170" s="16"/>
      <c r="I170" s="16"/>
      <c r="J170" s="16"/>
      <c r="K170" s="16"/>
      <c r="L170" s="16"/>
      <c r="M170" s="49"/>
    </row>
    <row r="171" spans="1:13" ht="21" customHeight="1">
      <c r="A171" s="16" t="s">
        <v>281</v>
      </c>
      <c r="B171" s="16">
        <f>F171+G171</f>
        <v>0</v>
      </c>
      <c r="C171" s="28">
        <v>0</v>
      </c>
      <c r="D171" s="29">
        <f t="shared" si="31"/>
        <v>0</v>
      </c>
      <c r="E171" s="29"/>
      <c r="F171" s="16"/>
      <c r="G171" s="16"/>
      <c r="H171" s="16"/>
      <c r="I171" s="17"/>
      <c r="J171" s="16"/>
      <c r="K171" s="16"/>
      <c r="L171" s="16"/>
      <c r="M171" s="49"/>
    </row>
    <row r="172" spans="1:59" s="11" customFormat="1" ht="21" customHeight="1">
      <c r="A172" s="10" t="s">
        <v>391</v>
      </c>
      <c r="B172" s="16">
        <f t="shared" si="30"/>
        <v>14809000</v>
      </c>
      <c r="C172" s="28"/>
      <c r="D172" s="29">
        <f t="shared" si="31"/>
        <v>14809000</v>
      </c>
      <c r="E172" s="30"/>
      <c r="F172" s="16">
        <f t="shared" si="32"/>
        <v>14809000</v>
      </c>
      <c r="G172" s="16"/>
      <c r="H172" s="16">
        <v>14809000</v>
      </c>
      <c r="I172" s="16"/>
      <c r="J172" s="16"/>
      <c r="K172" s="16"/>
      <c r="L172" s="16"/>
      <c r="M172" s="49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</row>
    <row r="173" spans="1:59" s="11" customFormat="1" ht="21" customHeight="1">
      <c r="A173" s="10" t="s">
        <v>280</v>
      </c>
      <c r="B173" s="16">
        <f>F173+G173</f>
        <v>0</v>
      </c>
      <c r="C173" s="28"/>
      <c r="D173" s="29"/>
      <c r="E173" s="30"/>
      <c r="F173" s="16"/>
      <c r="G173" s="16">
        <v>0</v>
      </c>
      <c r="H173" s="16"/>
      <c r="I173" s="16"/>
      <c r="J173" s="16"/>
      <c r="K173" s="16"/>
      <c r="L173" s="16"/>
      <c r="M173" s="49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</row>
    <row r="174" spans="1:59" s="11" customFormat="1" ht="21" customHeight="1">
      <c r="A174" s="10" t="s">
        <v>235</v>
      </c>
      <c r="B174" s="16">
        <f t="shared" si="30"/>
        <v>0</v>
      </c>
      <c r="C174" s="28"/>
      <c r="D174" s="29">
        <f t="shared" si="31"/>
        <v>0</v>
      </c>
      <c r="E174" s="30"/>
      <c r="F174" s="16"/>
      <c r="G174" s="16"/>
      <c r="H174" s="16">
        <f>56918952</f>
        <v>56918952</v>
      </c>
      <c r="I174" s="16"/>
      <c r="J174" s="16"/>
      <c r="K174" s="14"/>
      <c r="L174" s="14"/>
      <c r="M174" s="62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</row>
    <row r="175" spans="1:59" s="11" customFormat="1" ht="21" customHeight="1">
      <c r="A175" s="10" t="s">
        <v>237</v>
      </c>
      <c r="B175" s="16">
        <f>H175</f>
        <v>0</v>
      </c>
      <c r="C175" s="28"/>
      <c r="D175" s="29">
        <f t="shared" si="31"/>
        <v>0</v>
      </c>
      <c r="E175" s="30"/>
      <c r="F175" s="16"/>
      <c r="G175" s="16"/>
      <c r="H175" s="16">
        <v>0</v>
      </c>
      <c r="I175" s="16"/>
      <c r="J175" s="16"/>
      <c r="K175" s="14"/>
      <c r="L175" s="14"/>
      <c r="M175" s="62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</row>
    <row r="176" spans="1:59" s="11" customFormat="1" ht="21" customHeight="1">
      <c r="A176" s="10" t="s">
        <v>304</v>
      </c>
      <c r="B176" s="16">
        <f>H176</f>
        <v>233050</v>
      </c>
      <c r="C176" s="28"/>
      <c r="D176" s="29"/>
      <c r="E176" s="30"/>
      <c r="F176" s="16">
        <v>233050</v>
      </c>
      <c r="G176" s="16"/>
      <c r="H176" s="16">
        <v>233050</v>
      </c>
      <c r="I176" s="16"/>
      <c r="J176" s="16"/>
      <c r="K176" s="14"/>
      <c r="L176" s="14"/>
      <c r="M176" s="62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</row>
    <row r="177" spans="1:13" ht="21" customHeight="1">
      <c r="A177" s="14" t="s">
        <v>10</v>
      </c>
      <c r="B177" s="14">
        <f aca="true" t="shared" si="33" ref="B177:M177">SUM(B149:B176)</f>
        <v>2023597926.2399998</v>
      </c>
      <c r="C177" s="14">
        <f t="shared" si="33"/>
        <v>0</v>
      </c>
      <c r="D177" s="14">
        <f t="shared" si="33"/>
        <v>1182829815.08</v>
      </c>
      <c r="E177" s="14">
        <f t="shared" si="33"/>
        <v>0</v>
      </c>
      <c r="F177" s="14">
        <f t="shared" si="33"/>
        <v>2023597926.2399998</v>
      </c>
      <c r="G177" s="14">
        <f t="shared" si="33"/>
        <v>0</v>
      </c>
      <c r="H177" s="14">
        <f t="shared" si="33"/>
        <v>1815468926.2399998</v>
      </c>
      <c r="I177" s="14">
        <f t="shared" si="33"/>
        <v>0</v>
      </c>
      <c r="J177" s="14">
        <f t="shared" si="33"/>
        <v>0</v>
      </c>
      <c r="K177" s="14">
        <f t="shared" si="33"/>
        <v>0</v>
      </c>
      <c r="L177" s="14">
        <f t="shared" si="33"/>
        <v>74897196</v>
      </c>
      <c r="M177" s="14">
        <f t="shared" si="33"/>
        <v>60150756</v>
      </c>
    </row>
    <row r="178" spans="1:59" s="11" customFormat="1" ht="21" customHeight="1">
      <c r="A178" s="16"/>
      <c r="B178" s="16"/>
      <c r="C178" s="28"/>
      <c r="D178" s="30"/>
      <c r="E178" s="29"/>
      <c r="F178" s="16"/>
      <c r="G178" s="14"/>
      <c r="H178" s="14"/>
      <c r="I178" s="15"/>
      <c r="J178" s="14"/>
      <c r="K178" s="14"/>
      <c r="L178" s="14"/>
      <c r="M178" s="62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</row>
    <row r="179" spans="1:59" s="11" customFormat="1" ht="21" customHeight="1">
      <c r="A179" s="14" t="s">
        <v>96</v>
      </c>
      <c r="B179" s="16"/>
      <c r="C179" s="28"/>
      <c r="D179" s="29"/>
      <c r="E179" s="29"/>
      <c r="F179" s="16"/>
      <c r="G179" s="14"/>
      <c r="H179" s="14"/>
      <c r="I179" s="15"/>
      <c r="J179" s="14"/>
      <c r="K179" s="14"/>
      <c r="L179" s="14"/>
      <c r="M179" s="62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</row>
    <row r="180" spans="1:13" ht="21" customHeight="1">
      <c r="A180" s="16" t="s">
        <v>180</v>
      </c>
      <c r="B180" s="16">
        <f aca="true" t="shared" si="34" ref="B180:B187">F180+G180</f>
        <v>25750000</v>
      </c>
      <c r="C180" s="28"/>
      <c r="D180" s="29">
        <v>41200000</v>
      </c>
      <c r="E180" s="29"/>
      <c r="F180" s="16">
        <f aca="true" t="shared" si="35" ref="F180:F187">SUM(H180:M180)</f>
        <v>25750000</v>
      </c>
      <c r="G180" s="16"/>
      <c r="H180" s="16">
        <v>25750000</v>
      </c>
      <c r="I180" s="16"/>
      <c r="J180" s="16"/>
      <c r="K180" s="16"/>
      <c r="L180" s="16"/>
      <c r="M180" s="49"/>
    </row>
    <row r="181" spans="1:13" ht="21" customHeight="1">
      <c r="A181" s="16" t="s">
        <v>97</v>
      </c>
      <c r="B181" s="16">
        <f t="shared" si="34"/>
        <v>4720000</v>
      </c>
      <c r="C181" s="28"/>
      <c r="D181" s="29">
        <f aca="true" t="shared" si="36" ref="D181:D187">F181</f>
        <v>4720000</v>
      </c>
      <c r="E181" s="29"/>
      <c r="F181" s="16">
        <f t="shared" si="35"/>
        <v>4720000</v>
      </c>
      <c r="G181" s="16"/>
      <c r="H181" s="16">
        <v>4720000</v>
      </c>
      <c r="I181" s="16"/>
      <c r="J181" s="16"/>
      <c r="K181" s="16"/>
      <c r="L181" s="16"/>
      <c r="M181" s="49"/>
    </row>
    <row r="182" spans="1:59" s="12" customFormat="1" ht="21" customHeight="1">
      <c r="A182" s="17" t="s">
        <v>307</v>
      </c>
      <c r="B182" s="16">
        <v>0</v>
      </c>
      <c r="C182" s="28"/>
      <c r="D182" s="29">
        <f t="shared" si="36"/>
        <v>0</v>
      </c>
      <c r="E182" s="35"/>
      <c r="F182" s="16">
        <f t="shared" si="35"/>
        <v>0</v>
      </c>
      <c r="G182" s="17">
        <v>6161960</v>
      </c>
      <c r="H182" s="17"/>
      <c r="I182" s="17"/>
      <c r="J182" s="17"/>
      <c r="K182" s="17"/>
      <c r="L182" s="15"/>
      <c r="M182" s="5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</row>
    <row r="183" spans="1:13" ht="21" customHeight="1">
      <c r="A183" s="16" t="s">
        <v>98</v>
      </c>
      <c r="B183" s="16">
        <f>F183+G183+I183</f>
        <v>64250000</v>
      </c>
      <c r="C183" s="28"/>
      <c r="D183" s="29">
        <f>F183</f>
        <v>64250000</v>
      </c>
      <c r="E183" s="29"/>
      <c r="F183" s="16">
        <v>64250000</v>
      </c>
      <c r="H183" s="16"/>
      <c r="I183" s="16"/>
      <c r="J183" s="17"/>
      <c r="K183" s="16"/>
      <c r="L183" s="16"/>
      <c r="M183" s="49"/>
    </row>
    <row r="184" spans="1:13" ht="21" customHeight="1">
      <c r="A184" s="16" t="s">
        <v>99</v>
      </c>
      <c r="B184" s="16">
        <f t="shared" si="34"/>
        <v>54000000</v>
      </c>
      <c r="C184" s="28"/>
      <c r="D184" s="29">
        <v>27258000</v>
      </c>
      <c r="E184" s="29"/>
      <c r="F184" s="16">
        <f t="shared" si="35"/>
        <v>54000000</v>
      </c>
      <c r="G184" s="16"/>
      <c r="H184" s="16">
        <v>54000000</v>
      </c>
      <c r="I184" s="16"/>
      <c r="K184" s="16"/>
      <c r="L184" s="16"/>
      <c r="M184" s="49"/>
    </row>
    <row r="185" spans="1:13" ht="21" customHeight="1">
      <c r="A185" s="16" t="s">
        <v>100</v>
      </c>
      <c r="B185" s="16">
        <f t="shared" si="34"/>
        <v>21480000</v>
      </c>
      <c r="C185" s="28"/>
      <c r="D185" s="29">
        <f t="shared" si="36"/>
        <v>21480000</v>
      </c>
      <c r="E185" s="29"/>
      <c r="F185" s="16">
        <v>21480000</v>
      </c>
      <c r="G185" s="16"/>
      <c r="H185" s="58">
        <v>28833880</v>
      </c>
      <c r="I185" s="16"/>
      <c r="J185" s="16"/>
      <c r="K185" s="16"/>
      <c r="L185" s="16"/>
      <c r="M185" s="49"/>
    </row>
    <row r="186" spans="1:13" ht="21" customHeight="1">
      <c r="A186" s="16" t="s">
        <v>101</v>
      </c>
      <c r="B186" s="16">
        <f t="shared" si="34"/>
        <v>12198900</v>
      </c>
      <c r="C186" s="28"/>
      <c r="D186" s="29">
        <f t="shared" si="36"/>
        <v>12198900</v>
      </c>
      <c r="E186" s="29"/>
      <c r="F186" s="16">
        <f t="shared" si="35"/>
        <v>12198900</v>
      </c>
      <c r="G186" s="16"/>
      <c r="H186" s="58">
        <v>12198900</v>
      </c>
      <c r="I186" s="17"/>
      <c r="J186" s="16"/>
      <c r="K186" s="16"/>
      <c r="L186" s="16"/>
      <c r="M186" s="49"/>
    </row>
    <row r="187" spans="1:13" ht="21" customHeight="1">
      <c r="A187" s="16" t="s">
        <v>102</v>
      </c>
      <c r="B187" s="16">
        <f t="shared" si="34"/>
        <v>62504000</v>
      </c>
      <c r="C187" s="28"/>
      <c r="D187" s="29">
        <f t="shared" si="36"/>
        <v>62504000</v>
      </c>
      <c r="E187" s="29"/>
      <c r="F187" s="16">
        <f t="shared" si="35"/>
        <v>62504000</v>
      </c>
      <c r="G187" s="16"/>
      <c r="H187" s="58">
        <v>62504000</v>
      </c>
      <c r="I187" s="16"/>
      <c r="J187" s="17"/>
      <c r="K187" s="16"/>
      <c r="L187" s="16"/>
      <c r="M187" s="49"/>
    </row>
    <row r="188" spans="1:13" ht="21" customHeight="1">
      <c r="A188" s="16" t="s">
        <v>103</v>
      </c>
      <c r="B188" s="16">
        <f>F188+G188</f>
        <v>17090000</v>
      </c>
      <c r="C188" s="28"/>
      <c r="D188" s="29">
        <f>B188</f>
        <v>17090000</v>
      </c>
      <c r="E188" s="29"/>
      <c r="F188" s="16">
        <f>SUM(H188:M188)</f>
        <v>17090000</v>
      </c>
      <c r="G188" s="16"/>
      <c r="H188" s="16">
        <f>3310000+3290000+2830000+2830000+2830000+2000000</f>
        <v>17090000</v>
      </c>
      <c r="I188" s="16"/>
      <c r="J188" s="17"/>
      <c r="K188" s="16"/>
      <c r="L188" s="16"/>
      <c r="M188" s="49"/>
    </row>
    <row r="189" spans="1:13" ht="21" customHeight="1">
      <c r="A189" s="16" t="s">
        <v>308</v>
      </c>
      <c r="B189" s="16">
        <v>0</v>
      </c>
      <c r="C189" s="28"/>
      <c r="D189" s="29"/>
      <c r="E189" s="29"/>
      <c r="F189" s="16">
        <v>13792512</v>
      </c>
      <c r="G189" s="16"/>
      <c r="H189" s="16"/>
      <c r="I189" s="16"/>
      <c r="J189" s="17"/>
      <c r="K189" s="16"/>
      <c r="L189" s="16"/>
      <c r="M189" s="49"/>
    </row>
    <row r="190" spans="1:13" ht="21" customHeight="1">
      <c r="A190" s="16" t="s">
        <v>238</v>
      </c>
      <c r="B190" s="16">
        <f>H190</f>
        <v>29500000</v>
      </c>
      <c r="C190" s="28"/>
      <c r="D190" s="29"/>
      <c r="E190" s="29"/>
      <c r="F190" s="16"/>
      <c r="G190" s="16"/>
      <c r="H190" s="16">
        <v>29500000</v>
      </c>
      <c r="I190" s="16"/>
      <c r="J190" s="17"/>
      <c r="K190" s="16"/>
      <c r="L190" s="16"/>
      <c r="M190" s="49"/>
    </row>
    <row r="191" spans="1:59" s="11" customFormat="1" ht="21" customHeight="1">
      <c r="A191" s="14" t="s">
        <v>10</v>
      </c>
      <c r="B191" s="14">
        <f aca="true" t="shared" si="37" ref="B191:M191">SUM(B179:B190)</f>
        <v>291492900</v>
      </c>
      <c r="C191" s="14">
        <f t="shared" si="37"/>
        <v>0</v>
      </c>
      <c r="D191" s="14">
        <f t="shared" si="37"/>
        <v>250700900</v>
      </c>
      <c r="E191" s="14">
        <f t="shared" si="37"/>
        <v>0</v>
      </c>
      <c r="F191" s="14">
        <f t="shared" si="37"/>
        <v>275785412</v>
      </c>
      <c r="G191" s="14">
        <f t="shared" si="37"/>
        <v>6161960</v>
      </c>
      <c r="H191" s="14">
        <f t="shared" si="37"/>
        <v>234596780</v>
      </c>
      <c r="I191" s="14">
        <f t="shared" si="37"/>
        <v>0</v>
      </c>
      <c r="J191" s="14">
        <f t="shared" si="37"/>
        <v>0</v>
      </c>
      <c r="K191" s="14">
        <f t="shared" si="37"/>
        <v>0</v>
      </c>
      <c r="L191" s="14">
        <f t="shared" si="37"/>
        <v>0</v>
      </c>
      <c r="M191" s="14">
        <f t="shared" si="37"/>
        <v>0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</row>
    <row r="192" spans="1:13" ht="21" customHeight="1">
      <c r="A192" s="14"/>
      <c r="B192" s="16"/>
      <c r="C192" s="28"/>
      <c r="D192" s="29"/>
      <c r="E192" s="29"/>
      <c r="F192" s="16"/>
      <c r="G192" s="16"/>
      <c r="H192" s="16"/>
      <c r="I192" s="17"/>
      <c r="J192" s="16"/>
      <c r="K192" s="16"/>
      <c r="L192" s="16"/>
      <c r="M192" s="49"/>
    </row>
    <row r="193" spans="1:59" ht="40.5" customHeight="1">
      <c r="A193" s="181" t="s">
        <v>181</v>
      </c>
      <c r="B193" s="79">
        <f>F193+G193</f>
        <v>0</v>
      </c>
      <c r="C193" s="80"/>
      <c r="D193" s="81">
        <f>F193</f>
        <v>0</v>
      </c>
      <c r="E193" s="81"/>
      <c r="F193" s="22">
        <f>SUM(H193:M193)</f>
        <v>0</v>
      </c>
      <c r="G193" s="16"/>
      <c r="H193" s="16"/>
      <c r="I193" s="16"/>
      <c r="J193" s="16"/>
      <c r="K193" s="16"/>
      <c r="L193" s="16"/>
      <c r="M193" s="16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</row>
    <row r="194" spans="1:59" ht="29.25" customHeight="1">
      <c r="A194" s="16" t="s">
        <v>416</v>
      </c>
      <c r="B194" s="79">
        <f>F194+G194</f>
        <v>31796000</v>
      </c>
      <c r="C194" s="80"/>
      <c r="D194" s="81">
        <f>F194</f>
        <v>31796000</v>
      </c>
      <c r="E194" s="81"/>
      <c r="F194" s="22">
        <f>SUM(H194:M194)</f>
        <v>31796000</v>
      </c>
      <c r="G194" s="16"/>
      <c r="H194" s="16"/>
      <c r="I194" s="16">
        <v>31796000</v>
      </c>
      <c r="J194" s="16"/>
      <c r="K194" s="16"/>
      <c r="L194" s="16"/>
      <c r="M194" s="16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</row>
    <row r="195" spans="1:59" ht="15" customHeight="1">
      <c r="A195" s="16"/>
      <c r="B195" s="79"/>
      <c r="C195" s="80"/>
      <c r="D195" s="81"/>
      <c r="E195" s="81"/>
      <c r="F195" s="22"/>
      <c r="G195" s="16"/>
      <c r="H195" s="16"/>
      <c r="I195" s="16"/>
      <c r="J195" s="16"/>
      <c r="K195" s="16"/>
      <c r="L195" s="16"/>
      <c r="M195" s="16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</row>
    <row r="196" spans="1:59" ht="15" customHeight="1">
      <c r="A196" s="16"/>
      <c r="B196" s="79"/>
      <c r="C196" s="80"/>
      <c r="D196" s="81"/>
      <c r="E196" s="81"/>
      <c r="F196" s="22"/>
      <c r="G196" s="16"/>
      <c r="H196" s="16"/>
      <c r="I196" s="16"/>
      <c r="J196" s="16"/>
      <c r="K196" s="16"/>
      <c r="L196" s="16"/>
      <c r="M196" s="16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</row>
    <row r="197" spans="1:59" ht="15" customHeight="1">
      <c r="A197" s="16"/>
      <c r="B197" s="79"/>
      <c r="C197" s="80"/>
      <c r="D197" s="81"/>
      <c r="E197" s="81"/>
      <c r="F197" s="22"/>
      <c r="G197" s="16"/>
      <c r="H197" s="16"/>
      <c r="I197" s="16"/>
      <c r="J197" s="16"/>
      <c r="K197" s="16"/>
      <c r="L197" s="16"/>
      <c r="M197" s="16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</row>
    <row r="198" spans="1:59" ht="15" customHeight="1">
      <c r="A198" s="16"/>
      <c r="B198" s="145">
        <f>SUM(B194:B197)</f>
        <v>31796000</v>
      </c>
      <c r="C198" s="80"/>
      <c r="D198" s="81">
        <f>F198</f>
        <v>11011000</v>
      </c>
      <c r="E198" s="81"/>
      <c r="F198" s="22">
        <f>SUM(H198:M198)</f>
        <v>11011000</v>
      </c>
      <c r="G198" s="16"/>
      <c r="H198" s="16">
        <v>11011000</v>
      </c>
      <c r="I198" s="16"/>
      <c r="J198" s="16"/>
      <c r="K198" s="16"/>
      <c r="L198" s="16"/>
      <c r="M198" s="16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</row>
    <row r="199" spans="1:59" ht="15" customHeight="1">
      <c r="A199" s="16"/>
      <c r="B199" s="145"/>
      <c r="C199" s="80"/>
      <c r="D199" s="81"/>
      <c r="E199" s="81"/>
      <c r="F199" s="22"/>
      <c r="G199" s="16"/>
      <c r="H199" s="16"/>
      <c r="I199" s="16"/>
      <c r="J199" s="16"/>
      <c r="K199" s="16"/>
      <c r="L199" s="16"/>
      <c r="M199" s="16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</row>
    <row r="200" spans="1:59" ht="15" customHeight="1">
      <c r="A200" s="14" t="s">
        <v>232</v>
      </c>
      <c r="B200" s="79">
        <f aca="true" t="shared" si="38" ref="B200:B232">F200+G200</f>
        <v>0</v>
      </c>
      <c r="C200" s="80"/>
      <c r="D200" s="81">
        <f>F200</f>
        <v>0</v>
      </c>
      <c r="E200" s="81"/>
      <c r="F200" s="22">
        <f>SUM(H200:M200)</f>
        <v>0</v>
      </c>
      <c r="G200" s="16"/>
      <c r="H200" s="16"/>
      <c r="I200" s="16"/>
      <c r="J200" s="16"/>
      <c r="K200" s="16"/>
      <c r="L200" s="16"/>
      <c r="M200" s="16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</row>
    <row r="201" spans="1:59" ht="14.25" customHeight="1">
      <c r="A201" s="16" t="s">
        <v>368</v>
      </c>
      <c r="B201" s="79">
        <f t="shared" si="38"/>
        <v>11385900</v>
      </c>
      <c r="C201" s="80"/>
      <c r="D201" s="81">
        <f>F201</f>
        <v>11385900</v>
      </c>
      <c r="E201" s="81"/>
      <c r="F201" s="22">
        <f aca="true" t="shared" si="39" ref="F201:F232">SUM(H201:M201)</f>
        <v>11385900</v>
      </c>
      <c r="G201" s="16"/>
      <c r="H201" s="16"/>
      <c r="I201" s="16">
        <v>11385900</v>
      </c>
      <c r="J201" s="16"/>
      <c r="K201" s="16"/>
      <c r="L201" s="16"/>
      <c r="M201" s="16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</row>
    <row r="202" spans="1:59" ht="14.25" customHeight="1">
      <c r="A202" s="16" t="s">
        <v>369</v>
      </c>
      <c r="B202" s="79">
        <f t="shared" si="38"/>
        <v>19125100</v>
      </c>
      <c r="C202" s="80"/>
      <c r="D202" s="81"/>
      <c r="E202" s="81"/>
      <c r="F202" s="22">
        <f t="shared" si="39"/>
        <v>19125100</v>
      </c>
      <c r="G202" s="16"/>
      <c r="H202" s="16"/>
      <c r="I202" s="16">
        <v>19125100</v>
      </c>
      <c r="J202" s="16"/>
      <c r="K202" s="16"/>
      <c r="L202" s="16"/>
      <c r="M202" s="16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</row>
    <row r="203" spans="1:59" ht="14.25" customHeight="1">
      <c r="A203" s="16" t="s">
        <v>370</v>
      </c>
      <c r="B203" s="79">
        <f t="shared" si="38"/>
        <v>20500000</v>
      </c>
      <c r="C203" s="80"/>
      <c r="D203" s="81"/>
      <c r="E203" s="81"/>
      <c r="F203" s="22">
        <f t="shared" si="39"/>
        <v>20500000</v>
      </c>
      <c r="G203" s="16"/>
      <c r="H203" s="16"/>
      <c r="I203" s="16">
        <v>20500000</v>
      </c>
      <c r="J203" s="16"/>
      <c r="K203" s="16"/>
      <c r="L203" s="16"/>
      <c r="M203" s="16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</row>
    <row r="204" spans="1:59" ht="14.25" customHeight="1">
      <c r="A204" s="16" t="s">
        <v>371</v>
      </c>
      <c r="B204" s="79">
        <f t="shared" si="38"/>
        <v>69326450.49</v>
      </c>
      <c r="C204" s="80"/>
      <c r="D204" s="81">
        <f>F204</f>
        <v>69326450.49</v>
      </c>
      <c r="E204" s="81"/>
      <c r="F204" s="22">
        <f t="shared" si="39"/>
        <v>69326450.49</v>
      </c>
      <c r="G204" s="16"/>
      <c r="H204" s="16"/>
      <c r="I204" s="16">
        <f>1618753.5+17939898.99+22846395.36+4779177+4929188.04+3677330.76+13535706.84</f>
        <v>69326450.49</v>
      </c>
      <c r="J204" s="16"/>
      <c r="K204" s="16"/>
      <c r="L204" s="16"/>
      <c r="M204" s="16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</row>
    <row r="205" spans="1:59" ht="14.25" customHeight="1">
      <c r="A205" s="16" t="s">
        <v>248</v>
      </c>
      <c r="B205" s="79">
        <f t="shared" si="38"/>
        <v>83636538</v>
      </c>
      <c r="C205" s="80"/>
      <c r="D205" s="81"/>
      <c r="E205" s="81"/>
      <c r="F205" s="22">
        <f t="shared" si="39"/>
        <v>83636538</v>
      </c>
      <c r="G205" s="16"/>
      <c r="H205" s="16"/>
      <c r="I205" s="16">
        <v>83636538</v>
      </c>
      <c r="J205" s="16"/>
      <c r="K205" s="16"/>
      <c r="L205" s="16"/>
      <c r="M205" s="16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</row>
    <row r="206" spans="1:59" ht="14.25" customHeight="1">
      <c r="A206" s="16" t="s">
        <v>372</v>
      </c>
      <c r="B206" s="79">
        <f t="shared" si="38"/>
        <v>34810000</v>
      </c>
      <c r="C206" s="80"/>
      <c r="D206" s="81"/>
      <c r="E206" s="81"/>
      <c r="F206" s="22">
        <f t="shared" si="39"/>
        <v>34810000</v>
      </c>
      <c r="G206" s="16"/>
      <c r="H206" s="16"/>
      <c r="I206" s="16">
        <v>34810000</v>
      </c>
      <c r="J206" s="16"/>
      <c r="K206" s="16"/>
      <c r="L206" s="16"/>
      <c r="M206" s="16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</row>
    <row r="207" spans="1:59" ht="14.25" customHeight="1">
      <c r="A207" s="16" t="s">
        <v>267</v>
      </c>
      <c r="B207" s="79">
        <f t="shared" si="38"/>
        <v>37247033</v>
      </c>
      <c r="C207" s="80"/>
      <c r="D207" s="81">
        <f>F207</f>
        <v>37247033</v>
      </c>
      <c r="E207" s="81"/>
      <c r="F207" s="22">
        <f t="shared" si="39"/>
        <v>37247033</v>
      </c>
      <c r="G207" s="16"/>
      <c r="H207" s="16"/>
      <c r="I207" s="16">
        <v>37247033</v>
      </c>
      <c r="J207" s="16"/>
      <c r="K207" s="16"/>
      <c r="L207" s="16"/>
      <c r="M207" s="16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</row>
    <row r="208" spans="1:59" ht="14.25" customHeight="1">
      <c r="A208" s="190" t="s">
        <v>373</v>
      </c>
      <c r="B208" s="79">
        <f t="shared" si="38"/>
        <v>38881885</v>
      </c>
      <c r="C208" s="80"/>
      <c r="D208" s="81"/>
      <c r="E208" s="81"/>
      <c r="F208" s="22">
        <f t="shared" si="39"/>
        <v>38881885</v>
      </c>
      <c r="G208" s="16"/>
      <c r="H208" s="16"/>
      <c r="I208" s="16">
        <v>38881885</v>
      </c>
      <c r="J208" s="16"/>
      <c r="K208" s="16"/>
      <c r="L208" s="16"/>
      <c r="M208" s="16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</row>
    <row r="209" spans="1:59" ht="14.25" customHeight="1">
      <c r="A209" s="16" t="s">
        <v>295</v>
      </c>
      <c r="B209" s="79">
        <f t="shared" si="38"/>
        <v>0</v>
      </c>
      <c r="C209" s="80"/>
      <c r="D209" s="81"/>
      <c r="E209" s="81"/>
      <c r="F209" s="22">
        <f t="shared" si="39"/>
        <v>0</v>
      </c>
      <c r="G209" s="16"/>
      <c r="H209" s="16"/>
      <c r="I209" s="16"/>
      <c r="J209" s="16"/>
      <c r="K209" s="16"/>
      <c r="L209" s="16"/>
      <c r="M209" s="16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</row>
    <row r="210" spans="1:59" ht="14.25" customHeight="1">
      <c r="A210" s="16" t="s">
        <v>374</v>
      </c>
      <c r="B210" s="79">
        <f t="shared" si="38"/>
        <v>75468906</v>
      </c>
      <c r="C210" s="80"/>
      <c r="D210" s="81"/>
      <c r="E210" s="81"/>
      <c r="F210" s="22">
        <f t="shared" si="39"/>
        <v>75468906</v>
      </c>
      <c r="G210" s="16"/>
      <c r="H210" s="16"/>
      <c r="I210" s="16">
        <v>75468906</v>
      </c>
      <c r="J210" s="16"/>
      <c r="K210" s="16"/>
      <c r="L210" s="16"/>
      <c r="M210" s="16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</row>
    <row r="211" spans="1:59" ht="14.25" customHeight="1">
      <c r="A211" s="16" t="s">
        <v>243</v>
      </c>
      <c r="B211" s="79">
        <f t="shared" si="38"/>
        <v>269620491.3</v>
      </c>
      <c r="C211" s="80"/>
      <c r="D211" s="81"/>
      <c r="E211" s="81"/>
      <c r="F211" s="22">
        <f t="shared" si="39"/>
        <v>269620491.3</v>
      </c>
      <c r="G211" s="16"/>
      <c r="H211" s="16"/>
      <c r="I211" s="16">
        <f>43293618+226326873.3</f>
        <v>269620491.3</v>
      </c>
      <c r="J211" s="16"/>
      <c r="K211" s="16"/>
      <c r="L211" s="16"/>
      <c r="M211" s="16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</row>
    <row r="212" spans="1:59" ht="14.25" customHeight="1">
      <c r="A212" s="16" t="s">
        <v>296</v>
      </c>
      <c r="B212" s="79">
        <f t="shared" si="38"/>
        <v>121467674.26</v>
      </c>
      <c r="C212" s="80"/>
      <c r="D212" s="81"/>
      <c r="E212" s="81"/>
      <c r="F212" s="22">
        <f t="shared" si="39"/>
        <v>121467674.26</v>
      </c>
      <c r="G212" s="16"/>
      <c r="H212" s="16"/>
      <c r="I212" s="16">
        <v>121467674.26</v>
      </c>
      <c r="J212" s="16"/>
      <c r="K212" s="16"/>
      <c r="L212" s="16"/>
      <c r="M212" s="16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</row>
    <row r="213" spans="1:59" ht="14.25" customHeight="1">
      <c r="A213" s="16" t="s">
        <v>375</v>
      </c>
      <c r="B213" s="79">
        <f t="shared" si="38"/>
        <v>335620411.92</v>
      </c>
      <c r="C213" s="80"/>
      <c r="D213" s="81"/>
      <c r="E213" s="81"/>
      <c r="F213" s="22">
        <f t="shared" si="39"/>
        <v>335620411.92</v>
      </c>
      <c r="G213" s="16"/>
      <c r="H213" s="16"/>
      <c r="I213" s="16">
        <f>108794471.53+148200984.91+36692556.66+41932398.82</f>
        <v>335620411.92</v>
      </c>
      <c r="J213" s="16"/>
      <c r="K213" s="16"/>
      <c r="L213" s="16"/>
      <c r="M213" s="16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</row>
    <row r="214" spans="1:59" ht="14.25" customHeight="1">
      <c r="A214" s="16" t="s">
        <v>297</v>
      </c>
      <c r="B214" s="79">
        <f t="shared" si="38"/>
        <v>436600</v>
      </c>
      <c r="C214" s="80"/>
      <c r="D214" s="81"/>
      <c r="E214" s="81"/>
      <c r="F214" s="22">
        <f t="shared" si="39"/>
        <v>436600</v>
      </c>
      <c r="G214" s="16"/>
      <c r="H214" s="16"/>
      <c r="I214" s="16">
        <v>436600</v>
      </c>
      <c r="J214" s="16"/>
      <c r="K214" s="16"/>
      <c r="L214" s="16"/>
      <c r="M214" s="16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</row>
    <row r="215" spans="1:59" ht="14.25" customHeight="1">
      <c r="A215" s="16" t="s">
        <v>316</v>
      </c>
      <c r="B215" s="79">
        <f t="shared" si="38"/>
        <v>30292042</v>
      </c>
      <c r="C215" s="80"/>
      <c r="D215" s="81"/>
      <c r="E215" s="81"/>
      <c r="F215" s="22">
        <f t="shared" si="39"/>
        <v>30292042</v>
      </c>
      <c r="G215" s="16"/>
      <c r="H215" s="16"/>
      <c r="I215" s="16">
        <v>30292042</v>
      </c>
      <c r="J215" s="16"/>
      <c r="K215" s="16"/>
      <c r="L215" s="16"/>
      <c r="M215" s="16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</row>
    <row r="216" spans="1:59" ht="14.25" customHeight="1">
      <c r="A216" s="16" t="s">
        <v>317</v>
      </c>
      <c r="B216" s="79">
        <f t="shared" si="38"/>
        <v>8560280.52</v>
      </c>
      <c r="C216" s="80"/>
      <c r="D216" s="81"/>
      <c r="E216" s="81"/>
      <c r="F216" s="22">
        <f t="shared" si="39"/>
        <v>8560280.52</v>
      </c>
      <c r="G216" s="16"/>
      <c r="H216" s="16"/>
      <c r="I216" s="16">
        <v>8560280.52</v>
      </c>
      <c r="J216" s="16"/>
      <c r="K216" s="16"/>
      <c r="L216" s="16"/>
      <c r="M216" s="16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</row>
    <row r="217" spans="1:59" ht="14.25" customHeight="1">
      <c r="A217" s="16" t="s">
        <v>376</v>
      </c>
      <c r="B217" s="79">
        <f t="shared" si="38"/>
        <v>198022737.89</v>
      </c>
      <c r="C217" s="80"/>
      <c r="D217" s="81"/>
      <c r="E217" s="81"/>
      <c r="F217" s="22">
        <f t="shared" si="39"/>
        <v>198022737.89</v>
      </c>
      <c r="G217" s="16"/>
      <c r="H217" s="16"/>
      <c r="I217" s="16">
        <f>198022737.89</f>
        <v>198022737.89</v>
      </c>
      <c r="J217" s="16"/>
      <c r="K217" s="16"/>
      <c r="L217" s="16"/>
      <c r="M217" s="16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</row>
    <row r="218" spans="1:59" ht="14.25" customHeight="1">
      <c r="A218" s="16" t="s">
        <v>377</v>
      </c>
      <c r="B218" s="79">
        <f t="shared" si="38"/>
        <v>718844891.58</v>
      </c>
      <c r="C218" s="80"/>
      <c r="D218" s="81"/>
      <c r="E218" s="81"/>
      <c r="F218" s="22">
        <f t="shared" si="39"/>
        <v>718844891.58</v>
      </c>
      <c r="G218" s="16"/>
      <c r="H218" s="16"/>
      <c r="I218" s="16">
        <f>326574*2201.17</f>
        <v>718844891.58</v>
      </c>
      <c r="J218" s="16"/>
      <c r="K218" s="16"/>
      <c r="L218" s="16"/>
      <c r="M218" s="16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</row>
    <row r="219" spans="1:59" ht="14.25" customHeight="1">
      <c r="A219" s="16" t="s">
        <v>378</v>
      </c>
      <c r="B219" s="79">
        <f t="shared" si="38"/>
        <v>49110314.98</v>
      </c>
      <c r="C219" s="80"/>
      <c r="D219" s="81"/>
      <c r="E219" s="81"/>
      <c r="F219" s="22">
        <f t="shared" si="39"/>
        <v>49110314.98</v>
      </c>
      <c r="G219" s="16"/>
      <c r="H219" s="16"/>
      <c r="I219" s="16">
        <f>49110314.98</f>
        <v>49110314.98</v>
      </c>
      <c r="J219" s="16"/>
      <c r="K219" s="16"/>
      <c r="L219" s="16"/>
      <c r="M219" s="16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</row>
    <row r="220" spans="1:59" ht="14.25" customHeight="1">
      <c r="A220" s="16" t="s">
        <v>317</v>
      </c>
      <c r="B220" s="79">
        <f t="shared" si="38"/>
        <v>4604600</v>
      </c>
      <c r="C220" s="80"/>
      <c r="D220" s="81"/>
      <c r="E220" s="81"/>
      <c r="F220" s="22">
        <f t="shared" si="39"/>
        <v>4604600</v>
      </c>
      <c r="G220" s="16"/>
      <c r="H220" s="16"/>
      <c r="I220" s="16">
        <v>4604600</v>
      </c>
      <c r="J220" s="16"/>
      <c r="K220" s="16"/>
      <c r="L220" s="16"/>
      <c r="M220" s="16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</row>
    <row r="221" spans="1:59" ht="14.25" customHeight="1">
      <c r="A221" s="16" t="s">
        <v>396</v>
      </c>
      <c r="B221" s="79">
        <f t="shared" si="38"/>
        <v>22495603</v>
      </c>
      <c r="C221" s="80"/>
      <c r="D221" s="81"/>
      <c r="E221" s="81"/>
      <c r="F221" s="22">
        <f t="shared" si="39"/>
        <v>22495603</v>
      </c>
      <c r="G221" s="16"/>
      <c r="H221" s="16"/>
      <c r="I221" s="16">
        <v>22495603</v>
      </c>
      <c r="J221" s="16"/>
      <c r="K221" s="16"/>
      <c r="L221" s="16"/>
      <c r="M221" s="16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</row>
    <row r="222" spans="1:59" ht="14.25" customHeight="1">
      <c r="A222" s="16" t="s">
        <v>397</v>
      </c>
      <c r="B222" s="79">
        <f t="shared" si="38"/>
        <v>0</v>
      </c>
      <c r="C222" s="80"/>
      <c r="D222" s="81"/>
      <c r="E222" s="81"/>
      <c r="F222" s="22">
        <f t="shared" si="39"/>
        <v>0</v>
      </c>
      <c r="G222" s="16"/>
      <c r="H222" s="16"/>
      <c r="I222" s="16"/>
      <c r="J222" s="16"/>
      <c r="K222" s="16"/>
      <c r="L222" s="16"/>
      <c r="M222" s="16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</row>
    <row r="223" spans="1:59" ht="14.25" customHeight="1">
      <c r="A223" s="16" t="s">
        <v>398</v>
      </c>
      <c r="B223" s="79">
        <f t="shared" si="38"/>
        <v>70735804</v>
      </c>
      <c r="C223" s="80"/>
      <c r="D223" s="81"/>
      <c r="E223" s="81"/>
      <c r="F223" s="22">
        <f t="shared" si="39"/>
        <v>70735804</v>
      </c>
      <c r="G223" s="16"/>
      <c r="H223" s="16"/>
      <c r="I223" s="16">
        <v>70735804</v>
      </c>
      <c r="J223" s="16"/>
      <c r="K223" s="16"/>
      <c r="L223" s="16"/>
      <c r="M223" s="16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</row>
    <row r="224" spans="1:59" ht="14.25" customHeight="1">
      <c r="A224" s="16" t="s">
        <v>417</v>
      </c>
      <c r="B224" s="79">
        <f t="shared" si="38"/>
        <v>400043738.17</v>
      </c>
      <c r="C224" s="80"/>
      <c r="D224" s="81"/>
      <c r="E224" s="81"/>
      <c r="F224" s="22">
        <f t="shared" si="39"/>
        <v>400043738.17</v>
      </c>
      <c r="G224" s="16"/>
      <c r="H224" s="16"/>
      <c r="I224" s="16">
        <v>400043738.17</v>
      </c>
      <c r="J224" s="16"/>
      <c r="K224" s="16"/>
      <c r="L224" s="16"/>
      <c r="M224" s="16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</row>
    <row r="225" spans="1:59" ht="14.25" customHeight="1">
      <c r="A225" s="16" t="s">
        <v>418</v>
      </c>
      <c r="B225" s="79">
        <f t="shared" si="38"/>
        <v>10040383.47</v>
      </c>
      <c r="C225" s="80"/>
      <c r="D225" s="81"/>
      <c r="E225" s="81"/>
      <c r="F225" s="22">
        <f t="shared" si="39"/>
        <v>10040383.47</v>
      </c>
      <c r="G225" s="16"/>
      <c r="H225" s="16"/>
      <c r="I225" s="22">
        <v>10040383.47</v>
      </c>
      <c r="J225" s="16"/>
      <c r="K225" s="16"/>
      <c r="L225" s="16"/>
      <c r="M225" s="16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</row>
    <row r="226" spans="1:59" ht="14.25" customHeight="1">
      <c r="A226" s="16" t="s">
        <v>419</v>
      </c>
      <c r="B226" s="79">
        <f t="shared" si="38"/>
        <v>452161785.76</v>
      </c>
      <c r="C226" s="80"/>
      <c r="D226" s="81"/>
      <c r="E226" s="81"/>
      <c r="F226" s="22">
        <f t="shared" si="39"/>
        <v>452161785.76</v>
      </c>
      <c r="G226" s="16"/>
      <c r="H226" s="16"/>
      <c r="I226" s="22">
        <f>141462848.87+310698936.89</f>
        <v>452161785.76</v>
      </c>
      <c r="J226" s="16"/>
      <c r="K226" s="16"/>
      <c r="L226" s="16"/>
      <c r="M226" s="16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</row>
    <row r="227" spans="1:59" ht="14.25">
      <c r="A227" s="16" t="s">
        <v>420</v>
      </c>
      <c r="B227" s="79">
        <f t="shared" si="38"/>
        <v>142557517.91</v>
      </c>
      <c r="C227" s="80"/>
      <c r="D227" s="81"/>
      <c r="E227" s="81"/>
      <c r="F227" s="22">
        <f t="shared" si="39"/>
        <v>142557517.91</v>
      </c>
      <c r="G227" s="16"/>
      <c r="H227" s="16"/>
      <c r="I227" s="22">
        <v>142557517.91</v>
      </c>
      <c r="J227" s="16"/>
      <c r="K227" s="49"/>
      <c r="L227" s="16"/>
      <c r="M227" s="16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</row>
    <row r="228" spans="1:59" ht="14.25">
      <c r="A228" s="16" t="s">
        <v>421</v>
      </c>
      <c r="B228" s="79">
        <f t="shared" si="38"/>
        <v>15716420</v>
      </c>
      <c r="C228" s="80"/>
      <c r="D228" s="81"/>
      <c r="E228" s="81"/>
      <c r="F228" s="22">
        <f t="shared" si="39"/>
        <v>15716420</v>
      </c>
      <c r="G228" s="16"/>
      <c r="H228" s="16"/>
      <c r="I228" s="22">
        <v>15716420</v>
      </c>
      <c r="J228" s="16"/>
      <c r="K228" s="49"/>
      <c r="L228" s="16"/>
      <c r="M228" s="16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</row>
    <row r="229" spans="1:59" ht="14.25">
      <c r="A229" s="16" t="s">
        <v>422</v>
      </c>
      <c r="B229" s="79">
        <f t="shared" si="38"/>
        <v>133233800</v>
      </c>
      <c r="C229" s="80"/>
      <c r="D229" s="81"/>
      <c r="E229" s="81"/>
      <c r="F229" s="22">
        <f t="shared" si="39"/>
        <v>133233800</v>
      </c>
      <c r="G229" s="16"/>
      <c r="H229" s="16"/>
      <c r="I229" s="22">
        <v>133233800</v>
      </c>
      <c r="J229" s="16"/>
      <c r="K229" s="49"/>
      <c r="L229" s="16"/>
      <c r="M229" s="16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</row>
    <row r="230" spans="1:59" ht="14.25">
      <c r="A230" s="158" t="s">
        <v>253</v>
      </c>
      <c r="B230" s="79">
        <f t="shared" si="38"/>
        <v>320960000</v>
      </c>
      <c r="C230" s="80"/>
      <c r="D230" s="81"/>
      <c r="E230" s="81"/>
      <c r="F230" s="22">
        <f t="shared" si="39"/>
        <v>320960000</v>
      </c>
      <c r="G230" s="16"/>
      <c r="H230" s="16"/>
      <c r="I230" s="22">
        <f>120360000+40120000+160480000</f>
        <v>320960000</v>
      </c>
      <c r="J230" s="16"/>
      <c r="K230" s="49"/>
      <c r="L230" s="16"/>
      <c r="M230" s="16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</row>
    <row r="231" spans="1:59" ht="14.25">
      <c r="A231" s="16" t="s">
        <v>423</v>
      </c>
      <c r="B231" s="79">
        <f t="shared" si="38"/>
        <v>99477472.2</v>
      </c>
      <c r="C231" s="80"/>
      <c r="D231" s="81"/>
      <c r="E231" s="81"/>
      <c r="F231" s="22">
        <f t="shared" si="39"/>
        <v>99477472.2</v>
      </c>
      <c r="G231" s="16"/>
      <c r="H231" s="16"/>
      <c r="I231" s="22">
        <f>40470.9*2458</f>
        <v>99477472.2</v>
      </c>
      <c r="J231" s="16"/>
      <c r="K231" s="49"/>
      <c r="L231" s="16"/>
      <c r="M231" s="16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</row>
    <row r="232" spans="1:59" ht="14.25">
      <c r="A232" s="16" t="s">
        <v>312</v>
      </c>
      <c r="B232" s="79">
        <f t="shared" si="38"/>
        <v>648534372</v>
      </c>
      <c r="C232" s="80"/>
      <c r="D232" s="81"/>
      <c r="E232" s="81"/>
      <c r="F232" s="22">
        <f t="shared" si="39"/>
        <v>648534372</v>
      </c>
      <c r="G232" s="16"/>
      <c r="H232" s="16"/>
      <c r="I232" s="22">
        <f>289266*2242</f>
        <v>648534372</v>
      </c>
      <c r="J232" s="16"/>
      <c r="K232" s="49"/>
      <c r="L232" s="16"/>
      <c r="M232" s="16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</row>
    <row r="233" spans="1:13" s="135" customFormat="1" ht="14.25">
      <c r="A233" s="16"/>
      <c r="B233" s="79"/>
      <c r="C233" s="80"/>
      <c r="D233" s="81"/>
      <c r="E233" s="81"/>
      <c r="F233" s="22"/>
      <c r="G233" s="16"/>
      <c r="H233" s="16"/>
      <c r="I233" s="16"/>
      <c r="J233" s="16"/>
      <c r="K233" s="16"/>
      <c r="L233" s="16"/>
      <c r="M233" s="16"/>
    </row>
    <row r="234" spans="1:13" s="135" customFormat="1" ht="14.25">
      <c r="A234" s="16"/>
      <c r="B234" s="79"/>
      <c r="C234" s="80"/>
      <c r="D234" s="81"/>
      <c r="E234" s="81"/>
      <c r="F234" s="22"/>
      <c r="G234" s="16"/>
      <c r="H234" s="16"/>
      <c r="I234" s="16"/>
      <c r="J234" s="16"/>
      <c r="K234" s="16"/>
      <c r="L234" s="16"/>
      <c r="M234" s="16"/>
    </row>
    <row r="235" spans="1:13" s="135" customFormat="1" ht="14.25">
      <c r="A235" s="16"/>
      <c r="B235" s="79"/>
      <c r="C235" s="80"/>
      <c r="D235" s="81"/>
      <c r="E235" s="81"/>
      <c r="F235" s="22"/>
      <c r="G235" s="16"/>
      <c r="H235" s="16"/>
      <c r="I235" s="16"/>
      <c r="J235" s="16"/>
      <c r="K235" s="16"/>
      <c r="L235" s="16"/>
      <c r="M235" s="16"/>
    </row>
    <row r="236" spans="1:59" ht="15" customHeight="1">
      <c r="A236" s="58"/>
      <c r="B236" s="145">
        <f>SUM(B201:B235)</f>
        <v>4442918753.45</v>
      </c>
      <c r="C236" s="80"/>
      <c r="D236" s="81">
        <f>F236</f>
        <v>1498500</v>
      </c>
      <c r="E236" s="81"/>
      <c r="F236" s="58">
        <f>SUM(H236:M236)</f>
        <v>1498500</v>
      </c>
      <c r="G236" s="16"/>
      <c r="H236" s="16">
        <v>0</v>
      </c>
      <c r="I236" s="16"/>
      <c r="J236" s="16"/>
      <c r="K236" s="16"/>
      <c r="L236" s="16"/>
      <c r="M236" s="16">
        <f>1498500</f>
        <v>1498500</v>
      </c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</row>
    <row r="237" spans="1:59" ht="15" customHeight="1">
      <c r="A237" s="58"/>
      <c r="B237" s="145"/>
      <c r="C237" s="80"/>
      <c r="D237" s="81"/>
      <c r="E237" s="81"/>
      <c r="F237" s="58"/>
      <c r="G237" s="16"/>
      <c r="H237" s="16"/>
      <c r="I237" s="16"/>
      <c r="J237" s="16"/>
      <c r="K237" s="16"/>
      <c r="L237" s="16"/>
      <c r="M237" s="16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</row>
    <row r="238" spans="1:13" s="175" customFormat="1" ht="14.25" customHeight="1">
      <c r="A238" s="172" t="s">
        <v>183</v>
      </c>
      <c r="B238" s="143">
        <f>F238+G238</f>
        <v>0</v>
      </c>
      <c r="C238" s="173"/>
      <c r="D238" s="128">
        <f>F238</f>
        <v>0</v>
      </c>
      <c r="E238" s="128"/>
      <c r="F238" s="22">
        <f>SUM(H238:M238)</f>
        <v>0</v>
      </c>
      <c r="G238" s="174"/>
      <c r="H238" s="174"/>
      <c r="I238" s="174"/>
      <c r="J238" s="174"/>
      <c r="K238" s="174"/>
      <c r="L238" s="174"/>
      <c r="M238" s="174"/>
    </row>
    <row r="239" spans="1:13" s="135" customFormat="1" ht="14.25">
      <c r="A239" s="16" t="s">
        <v>143</v>
      </c>
      <c r="B239" s="79">
        <f>H239</f>
        <v>14932600</v>
      </c>
      <c r="C239" s="80"/>
      <c r="D239" s="81">
        <f aca="true" t="shared" si="40" ref="D239:D245">F239</f>
        <v>14932600</v>
      </c>
      <c r="E239" s="81"/>
      <c r="F239" s="22">
        <f>H239</f>
        <v>14932600</v>
      </c>
      <c r="G239" s="16"/>
      <c r="H239" s="16">
        <f>10952800+3979800</f>
        <v>14932600</v>
      </c>
      <c r="I239" s="16"/>
      <c r="J239" s="16"/>
      <c r="K239" s="16"/>
      <c r="L239" s="16"/>
      <c r="M239" s="16"/>
    </row>
    <row r="240" spans="1:13" s="135" customFormat="1" ht="14.25">
      <c r="A240" s="16" t="s">
        <v>379</v>
      </c>
      <c r="B240" s="79">
        <f>F240+G240</f>
        <v>50873000</v>
      </c>
      <c r="C240" s="80"/>
      <c r="D240" s="81">
        <f t="shared" si="40"/>
        <v>50873000</v>
      </c>
      <c r="E240" s="81"/>
      <c r="F240" s="22">
        <f aca="true" t="shared" si="41" ref="F240:F245">SUM(H240:M240)</f>
        <v>50873000</v>
      </c>
      <c r="G240" s="16"/>
      <c r="H240" s="16">
        <v>50873000</v>
      </c>
      <c r="I240" s="16"/>
      <c r="J240" s="16"/>
      <c r="K240" s="16"/>
      <c r="L240" s="16"/>
      <c r="M240" s="16"/>
    </row>
    <row r="241" spans="1:13" s="135" customFormat="1" ht="14.25">
      <c r="A241" s="16" t="s">
        <v>414</v>
      </c>
      <c r="B241" s="79">
        <f>F241+G241</f>
        <v>12605712.5</v>
      </c>
      <c r="C241" s="80"/>
      <c r="D241" s="81">
        <f t="shared" si="40"/>
        <v>12605712.5</v>
      </c>
      <c r="E241" s="81"/>
      <c r="F241" s="22">
        <f t="shared" si="41"/>
        <v>12605712.5</v>
      </c>
      <c r="G241" s="16"/>
      <c r="H241" s="16">
        <f>5059212.5+7546500</f>
        <v>12605712.5</v>
      </c>
      <c r="I241" s="16"/>
      <c r="J241" s="16"/>
      <c r="K241" s="16"/>
      <c r="L241" s="16"/>
      <c r="M241" s="16"/>
    </row>
    <row r="242" spans="1:13" s="135" customFormat="1" ht="14.25">
      <c r="A242" s="16" t="s">
        <v>415</v>
      </c>
      <c r="B242" s="79">
        <f>F242+G242</f>
        <v>18769113.43</v>
      </c>
      <c r="C242" s="80"/>
      <c r="D242" s="81">
        <f t="shared" si="40"/>
        <v>18769113.43</v>
      </c>
      <c r="E242" s="81"/>
      <c r="F242" s="22">
        <f t="shared" si="41"/>
        <v>18769113.43</v>
      </c>
      <c r="G242" s="16"/>
      <c r="H242" s="16">
        <v>18769113.43</v>
      </c>
      <c r="I242" s="16"/>
      <c r="J242" s="16"/>
      <c r="K242" s="16"/>
      <c r="L242" s="16"/>
      <c r="M242" s="16"/>
    </row>
    <row r="243" spans="1:13" s="135" customFormat="1" ht="14.25">
      <c r="A243" s="16" t="s">
        <v>184</v>
      </c>
      <c r="B243" s="79">
        <f>F243+G243</f>
        <v>11445000</v>
      </c>
      <c r="C243" s="80"/>
      <c r="D243" s="81">
        <f t="shared" si="40"/>
        <v>11445000</v>
      </c>
      <c r="E243" s="81"/>
      <c r="F243" s="22">
        <f t="shared" si="41"/>
        <v>11445000</v>
      </c>
      <c r="G243" s="16"/>
      <c r="H243" s="16">
        <f>1974000+4221000+5250000</f>
        <v>11445000</v>
      </c>
      <c r="I243" s="16"/>
      <c r="J243" s="16"/>
      <c r="K243" s="16"/>
      <c r="L243" s="16"/>
      <c r="M243" s="16"/>
    </row>
    <row r="244" spans="1:13" s="135" customFormat="1" ht="14.25">
      <c r="A244" s="16" t="s">
        <v>242</v>
      </c>
      <c r="B244" s="79">
        <f>F244+G244</f>
        <v>3395000</v>
      </c>
      <c r="C244" s="80"/>
      <c r="D244" s="81">
        <f t="shared" si="40"/>
        <v>3395000</v>
      </c>
      <c r="E244" s="81"/>
      <c r="F244" s="22">
        <f t="shared" si="41"/>
        <v>3395000</v>
      </c>
      <c r="G244" s="16"/>
      <c r="H244" s="16">
        <v>3395000</v>
      </c>
      <c r="I244" s="16"/>
      <c r="J244" s="16"/>
      <c r="K244" s="16"/>
      <c r="L244" s="16"/>
      <c r="M244" s="16"/>
    </row>
    <row r="245" spans="1:59" ht="15" customHeight="1">
      <c r="A245" s="58"/>
      <c r="B245" s="145">
        <f>SUM(B238:B244)</f>
        <v>112020425.93</v>
      </c>
      <c r="C245" s="80"/>
      <c r="D245" s="81">
        <f t="shared" si="40"/>
        <v>1498500</v>
      </c>
      <c r="E245" s="81"/>
      <c r="F245" s="58">
        <f t="shared" si="41"/>
        <v>1498500</v>
      </c>
      <c r="G245" s="16"/>
      <c r="H245" s="16">
        <v>0</v>
      </c>
      <c r="I245" s="16"/>
      <c r="J245" s="16"/>
      <c r="K245" s="16"/>
      <c r="L245" s="16"/>
      <c r="M245" s="16">
        <f>1498500</f>
        <v>1498500</v>
      </c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</row>
    <row r="246" spans="1:13" s="175" customFormat="1" ht="15" customHeight="1">
      <c r="A246" s="176"/>
      <c r="B246" s="177"/>
      <c r="C246" s="173"/>
      <c r="D246" s="128">
        <f aca="true" t="shared" si="42" ref="D246:D254">F246</f>
        <v>0</v>
      </c>
      <c r="E246" s="128"/>
      <c r="F246" s="127">
        <f aca="true" t="shared" si="43" ref="F246:F252">SUM(H246:M246)</f>
        <v>0</v>
      </c>
      <c r="G246" s="174"/>
      <c r="H246" s="174"/>
      <c r="I246" s="174"/>
      <c r="J246" s="174"/>
      <c r="K246" s="174"/>
      <c r="L246" s="174"/>
      <c r="M246" s="174"/>
    </row>
    <row r="247" spans="1:13" s="175" customFormat="1" ht="15">
      <c r="A247" s="172" t="s">
        <v>185</v>
      </c>
      <c r="B247" s="143">
        <f aca="true" t="shared" si="44" ref="B247:B252">F247+G247</f>
        <v>0</v>
      </c>
      <c r="C247" s="173"/>
      <c r="D247" s="128">
        <f t="shared" si="42"/>
        <v>0</v>
      </c>
      <c r="E247" s="128"/>
      <c r="F247" s="127">
        <f t="shared" si="43"/>
        <v>0</v>
      </c>
      <c r="G247" s="174"/>
      <c r="H247" s="174"/>
      <c r="I247" s="174"/>
      <c r="J247" s="174"/>
      <c r="K247" s="174"/>
      <c r="L247" s="174"/>
      <c r="M247" s="174"/>
    </row>
    <row r="248" spans="1:13" s="135" customFormat="1" ht="14.25">
      <c r="A248" s="16" t="s">
        <v>186</v>
      </c>
      <c r="B248" s="79">
        <f t="shared" si="44"/>
        <v>0</v>
      </c>
      <c r="C248" s="80"/>
      <c r="D248" s="81">
        <f t="shared" si="42"/>
        <v>0</v>
      </c>
      <c r="E248" s="81"/>
      <c r="F248" s="22">
        <f t="shared" si="43"/>
        <v>0</v>
      </c>
      <c r="G248" s="16"/>
      <c r="H248" s="16"/>
      <c r="I248" s="16"/>
      <c r="J248" s="16"/>
      <c r="K248" s="16"/>
      <c r="L248" s="16"/>
      <c r="M248" s="16"/>
    </row>
    <row r="249" spans="1:13" s="135" customFormat="1" ht="14.25">
      <c r="A249" s="16" t="s">
        <v>399</v>
      </c>
      <c r="B249" s="79">
        <f t="shared" si="44"/>
        <v>179884140</v>
      </c>
      <c r="C249" s="80"/>
      <c r="D249" s="81">
        <f t="shared" si="42"/>
        <v>179884140</v>
      </c>
      <c r="E249" s="81"/>
      <c r="F249" s="22">
        <f t="shared" si="43"/>
        <v>179884140</v>
      </c>
      <c r="G249" s="16"/>
      <c r="H249" s="16"/>
      <c r="I249" s="16"/>
      <c r="J249" s="16">
        <f>102000*1763.57</f>
        <v>179884140</v>
      </c>
      <c r="K249" s="16"/>
      <c r="L249" s="16"/>
      <c r="M249" s="16"/>
    </row>
    <row r="250" spans="1:13" s="135" customFormat="1" ht="14.25">
      <c r="A250" s="16" t="s">
        <v>380</v>
      </c>
      <c r="B250" s="79">
        <f t="shared" si="44"/>
        <v>519217846.2315</v>
      </c>
      <c r="C250" s="80"/>
      <c r="D250" s="81">
        <f t="shared" si="42"/>
        <v>519217846.2315</v>
      </c>
      <c r="E250" s="81"/>
      <c r="F250" s="22">
        <f t="shared" si="43"/>
        <v>519217846.2315</v>
      </c>
      <c r="G250" s="16"/>
      <c r="H250" s="16"/>
      <c r="I250" s="16"/>
      <c r="J250" s="16">
        <f>294412.95*1763.57</f>
        <v>519217846.2315</v>
      </c>
      <c r="K250" s="16"/>
      <c r="L250" s="16"/>
      <c r="M250" s="16"/>
    </row>
    <row r="251" spans="1:13" s="135" customFormat="1" ht="14.25">
      <c r="A251" s="16" t="s">
        <v>400</v>
      </c>
      <c r="B251" s="79">
        <f t="shared" si="44"/>
        <v>3976586416.7599998</v>
      </c>
      <c r="C251" s="80"/>
      <c r="D251" s="81">
        <f t="shared" si="42"/>
        <v>3976586416.7599998</v>
      </c>
      <c r="E251" s="81"/>
      <c r="F251" s="22">
        <f t="shared" si="43"/>
        <v>3976586416.7599998</v>
      </c>
      <c r="G251" s="16"/>
      <c r="H251" s="16">
        <f>1828324*2174.99</f>
        <v>3976586416.7599998</v>
      </c>
      <c r="I251" s="16"/>
      <c r="J251" s="16"/>
      <c r="K251" s="16"/>
      <c r="L251" s="16"/>
      <c r="M251" s="16"/>
    </row>
    <row r="252" spans="1:13" s="191" customFormat="1" ht="14.25">
      <c r="A252" s="161" t="s">
        <v>401</v>
      </c>
      <c r="B252" s="79">
        <f t="shared" si="44"/>
        <v>2040075170</v>
      </c>
      <c r="C252" s="159"/>
      <c r="D252" s="160"/>
      <c r="E252" s="160"/>
      <c r="F252" s="22">
        <f t="shared" si="43"/>
        <v>2040075170</v>
      </c>
      <c r="G252" s="187"/>
      <c r="H252" s="187">
        <f>942298*2165</f>
        <v>2040075170</v>
      </c>
      <c r="I252" s="187"/>
      <c r="J252" s="187"/>
      <c r="K252" s="187"/>
      <c r="L252" s="187"/>
      <c r="M252" s="187"/>
    </row>
    <row r="253" spans="1:13" s="191" customFormat="1" ht="14.25">
      <c r="A253" s="161"/>
      <c r="B253" s="166"/>
      <c r="C253" s="159"/>
      <c r="D253" s="160"/>
      <c r="E253" s="160"/>
      <c r="F253" s="22"/>
      <c r="G253" s="187"/>
      <c r="H253" s="187"/>
      <c r="I253" s="187"/>
      <c r="J253" s="187"/>
      <c r="K253" s="187"/>
      <c r="L253" s="187"/>
      <c r="M253" s="187"/>
    </row>
    <row r="254" spans="1:59" ht="15" customHeight="1">
      <c r="A254" s="58"/>
      <c r="B254" s="145">
        <f>SUM(B247:B253)</f>
        <v>6715763572.9915</v>
      </c>
      <c r="C254" s="80"/>
      <c r="D254" s="81">
        <f t="shared" si="42"/>
        <v>0</v>
      </c>
      <c r="E254" s="81"/>
      <c r="F254" s="58">
        <v>0</v>
      </c>
      <c r="G254" s="16"/>
      <c r="H254" s="16">
        <f>109598400</f>
        <v>109598400</v>
      </c>
      <c r="I254" s="16"/>
      <c r="J254" s="16"/>
      <c r="K254" s="16"/>
      <c r="L254" s="16"/>
      <c r="M254" s="16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</row>
    <row r="255" spans="1:13" s="175" customFormat="1" ht="15" customHeight="1">
      <c r="A255" s="82" t="s">
        <v>322</v>
      </c>
      <c r="B255" s="177"/>
      <c r="C255" s="80"/>
      <c r="D255" s="128"/>
      <c r="E255" s="81"/>
      <c r="F255" s="127"/>
      <c r="G255" s="58"/>
      <c r="H255" s="71"/>
      <c r="I255" s="83"/>
      <c r="J255" s="71"/>
      <c r="K255" s="71"/>
      <c r="L255" s="71"/>
      <c r="M255" s="71"/>
    </row>
    <row r="256" spans="1:13" s="135" customFormat="1" ht="14.25">
      <c r="A256" s="16" t="s">
        <v>402</v>
      </c>
      <c r="B256" s="79">
        <f>F256</f>
        <v>24767718.64</v>
      </c>
      <c r="C256" s="80"/>
      <c r="D256" s="81">
        <f aca="true" t="shared" si="45" ref="D256:D263">F256</f>
        <v>24767718.64</v>
      </c>
      <c r="E256" s="81"/>
      <c r="F256" s="22">
        <f aca="true" t="shared" si="46" ref="F256:F263">SUM(H256:M256)</f>
        <v>24767718.64</v>
      </c>
      <c r="G256" s="16"/>
      <c r="H256" s="16">
        <v>24767718.64</v>
      </c>
      <c r="I256" s="16"/>
      <c r="J256" s="16"/>
      <c r="K256" s="16"/>
      <c r="L256" s="16"/>
      <c r="M256" s="16"/>
    </row>
    <row r="257" spans="1:13" s="135" customFormat="1" ht="14.25">
      <c r="A257" s="16" t="s">
        <v>403</v>
      </c>
      <c r="B257" s="79">
        <f aca="true" t="shared" si="47" ref="B257:B263">F257+G257</f>
        <v>37600000</v>
      </c>
      <c r="C257" s="80"/>
      <c r="D257" s="81">
        <f t="shared" si="45"/>
        <v>37600000</v>
      </c>
      <c r="E257" s="81"/>
      <c r="F257" s="22">
        <f t="shared" si="46"/>
        <v>37600000</v>
      </c>
      <c r="G257" s="16"/>
      <c r="H257" s="16">
        <v>37600000</v>
      </c>
      <c r="I257" s="16"/>
      <c r="J257" s="16"/>
      <c r="K257" s="16"/>
      <c r="L257" s="16"/>
      <c r="M257" s="16"/>
    </row>
    <row r="258" spans="1:13" s="135" customFormat="1" ht="14.25">
      <c r="A258" s="16" t="s">
        <v>404</v>
      </c>
      <c r="B258" s="79">
        <f t="shared" si="47"/>
        <v>3423750</v>
      </c>
      <c r="C258" s="80"/>
      <c r="D258" s="81">
        <f t="shared" si="45"/>
        <v>3423750</v>
      </c>
      <c r="E258" s="81"/>
      <c r="F258" s="22">
        <f t="shared" si="46"/>
        <v>3423750</v>
      </c>
      <c r="G258" s="16"/>
      <c r="H258" s="16">
        <v>3423750</v>
      </c>
      <c r="I258" s="16"/>
      <c r="J258" s="16"/>
      <c r="K258" s="16"/>
      <c r="L258" s="16"/>
      <c r="M258" s="16"/>
    </row>
    <row r="259" spans="1:13" s="135" customFormat="1" ht="14.25">
      <c r="A259" s="16" t="s">
        <v>405</v>
      </c>
      <c r="B259" s="79">
        <f t="shared" si="47"/>
        <v>4257321</v>
      </c>
      <c r="C259" s="80"/>
      <c r="D259" s="81">
        <f t="shared" si="45"/>
        <v>4257321</v>
      </c>
      <c r="E259" s="81"/>
      <c r="F259" s="22">
        <f t="shared" si="46"/>
        <v>4257321</v>
      </c>
      <c r="G259" s="16"/>
      <c r="H259" s="16">
        <v>4257321</v>
      </c>
      <c r="I259" s="16"/>
      <c r="J259" s="16"/>
      <c r="K259" s="16"/>
      <c r="L259" s="16"/>
      <c r="M259" s="16"/>
    </row>
    <row r="260" spans="1:13" s="135" customFormat="1" ht="14.25">
      <c r="A260" s="16" t="s">
        <v>406</v>
      </c>
      <c r="B260" s="79">
        <f t="shared" si="47"/>
        <v>30280103</v>
      </c>
      <c r="C260" s="80"/>
      <c r="D260" s="81">
        <f t="shared" si="45"/>
        <v>30280103</v>
      </c>
      <c r="E260" s="81"/>
      <c r="F260" s="22">
        <f t="shared" si="46"/>
        <v>30280103</v>
      </c>
      <c r="G260" s="16"/>
      <c r="H260" s="16">
        <v>30280103</v>
      </c>
      <c r="I260" s="16"/>
      <c r="J260" s="16"/>
      <c r="K260" s="16"/>
      <c r="L260" s="16"/>
      <c r="M260" s="16"/>
    </row>
    <row r="261" spans="1:13" s="135" customFormat="1" ht="14.25">
      <c r="A261" s="16" t="s">
        <v>381</v>
      </c>
      <c r="B261" s="79">
        <f t="shared" si="47"/>
        <v>14505755</v>
      </c>
      <c r="C261" s="80"/>
      <c r="D261" s="81">
        <f t="shared" si="45"/>
        <v>14505755</v>
      </c>
      <c r="E261" s="81"/>
      <c r="F261" s="22">
        <f t="shared" si="46"/>
        <v>14505755</v>
      </c>
      <c r="G261" s="16"/>
      <c r="H261" s="16"/>
      <c r="I261" s="16"/>
      <c r="J261" s="16"/>
      <c r="K261" s="16"/>
      <c r="L261" s="16"/>
      <c r="M261" s="16">
        <v>14505755</v>
      </c>
    </row>
    <row r="262" spans="1:13" s="135" customFormat="1" ht="28.5">
      <c r="A262" s="196" t="s">
        <v>382</v>
      </c>
      <c r="B262" s="79">
        <f t="shared" si="47"/>
        <v>637559753.3399999</v>
      </c>
      <c r="C262" s="80"/>
      <c r="D262" s="81">
        <f t="shared" si="45"/>
        <v>637559753.3399999</v>
      </c>
      <c r="E262" s="81"/>
      <c r="F262" s="22">
        <f t="shared" si="46"/>
        <v>637559753.3399999</v>
      </c>
      <c r="G262" s="16"/>
      <c r="H262" s="16"/>
      <c r="I262" s="16">
        <f>645225530.29-7665776.95</f>
        <v>637559753.3399999</v>
      </c>
      <c r="J262" s="16"/>
      <c r="K262" s="16"/>
      <c r="L262" s="16"/>
      <c r="M262" s="16"/>
    </row>
    <row r="263" spans="1:13" s="135" customFormat="1" ht="14.25">
      <c r="A263" s="16" t="s">
        <v>407</v>
      </c>
      <c r="B263" s="79">
        <f t="shared" si="47"/>
        <v>53375000</v>
      </c>
      <c r="C263" s="80"/>
      <c r="D263" s="81">
        <f t="shared" si="45"/>
        <v>53375000</v>
      </c>
      <c r="E263" s="81"/>
      <c r="F263" s="22">
        <f t="shared" si="46"/>
        <v>53375000</v>
      </c>
      <c r="G263" s="16"/>
      <c r="H263" s="16">
        <v>53375000</v>
      </c>
      <c r="I263" s="16"/>
      <c r="J263" s="16"/>
      <c r="K263" s="16"/>
      <c r="L263" s="16"/>
      <c r="M263" s="16"/>
    </row>
    <row r="264" spans="1:59" ht="15" customHeight="1">
      <c r="A264" s="58"/>
      <c r="B264" s="145">
        <f>SUM(B256:B263)</f>
        <v>805769400.9799999</v>
      </c>
      <c r="C264" s="80"/>
      <c r="D264" s="81">
        <f>F264</f>
        <v>0</v>
      </c>
      <c r="E264" s="81"/>
      <c r="F264" s="58">
        <v>0</v>
      </c>
      <c r="G264" s="16"/>
      <c r="H264" s="16"/>
      <c r="I264" s="16"/>
      <c r="J264" s="16"/>
      <c r="K264" s="16"/>
      <c r="L264" s="16"/>
      <c r="M264" s="16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</row>
    <row r="265" spans="1:59" ht="15" customHeight="1">
      <c r="A265" s="71"/>
      <c r="B265" s="145"/>
      <c r="C265" s="80"/>
      <c r="D265" s="81"/>
      <c r="E265" s="81"/>
      <c r="F265" s="58"/>
      <c r="G265" s="16"/>
      <c r="H265" s="134"/>
      <c r="I265" s="134"/>
      <c r="J265" s="134"/>
      <c r="K265" s="134"/>
      <c r="L265" s="134"/>
      <c r="M265" s="134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</row>
    <row r="266" spans="1:13" s="175" customFormat="1" ht="15" customHeight="1">
      <c r="A266" s="82" t="s">
        <v>262</v>
      </c>
      <c r="B266" s="177"/>
      <c r="C266" s="80"/>
      <c r="D266" s="128"/>
      <c r="E266" s="81"/>
      <c r="F266" s="127"/>
      <c r="G266" s="58"/>
      <c r="H266" s="71"/>
      <c r="I266" s="83"/>
      <c r="J266" s="71"/>
      <c r="K266" s="71"/>
      <c r="L266" s="71"/>
      <c r="M266" s="71"/>
    </row>
    <row r="267" spans="1:13" s="135" customFormat="1" ht="14.25">
      <c r="A267" s="16" t="s">
        <v>383</v>
      </c>
      <c r="B267" s="79">
        <f>D267</f>
        <v>17173721.04</v>
      </c>
      <c r="C267" s="80"/>
      <c r="D267" s="81">
        <f>F267</f>
        <v>17173721.04</v>
      </c>
      <c r="E267" s="81"/>
      <c r="F267" s="22">
        <f>H267</f>
        <v>17173721.04</v>
      </c>
      <c r="G267" s="16"/>
      <c r="H267" s="16">
        <f>7896*2174.99</f>
        <v>17173721.04</v>
      </c>
      <c r="I267" s="16"/>
      <c r="J267" s="16"/>
      <c r="K267" s="16"/>
      <c r="L267" s="16"/>
      <c r="M267" s="16"/>
    </row>
    <row r="268" spans="1:13" s="135" customFormat="1" ht="14.25">
      <c r="A268" s="16" t="s">
        <v>384</v>
      </c>
      <c r="B268" s="79">
        <f>F268+G268</f>
        <v>17973840</v>
      </c>
      <c r="C268" s="80"/>
      <c r="D268" s="81">
        <f>F268</f>
        <v>17973840</v>
      </c>
      <c r="E268" s="81"/>
      <c r="F268" s="22">
        <f>SUM(H268:M268)</f>
        <v>17973840</v>
      </c>
      <c r="G268" s="16"/>
      <c r="H268" s="16">
        <v>17973840</v>
      </c>
      <c r="I268" s="16"/>
      <c r="J268" s="16"/>
      <c r="K268" s="16"/>
      <c r="L268" s="16"/>
      <c r="M268" s="16"/>
    </row>
    <row r="269" spans="1:59" ht="15" customHeight="1">
      <c r="A269" s="58"/>
      <c r="B269" s="145">
        <f>SUM(B267:B268)</f>
        <v>35147561.04</v>
      </c>
      <c r="C269" s="80"/>
      <c r="D269" s="81"/>
      <c r="E269" s="81"/>
      <c r="F269" s="58"/>
      <c r="G269" s="16"/>
      <c r="H269" s="16"/>
      <c r="I269" s="16"/>
      <c r="J269" s="16"/>
      <c r="K269" s="16"/>
      <c r="L269" s="16"/>
      <c r="M269" s="49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</row>
    <row r="270" spans="1:13" s="175" customFormat="1" ht="14.25">
      <c r="A270" s="176"/>
      <c r="B270" s="79"/>
      <c r="C270" s="173"/>
      <c r="D270" s="128">
        <f aca="true" t="shared" si="48" ref="D270:D283">F270</f>
        <v>0</v>
      </c>
      <c r="E270" s="128"/>
      <c r="F270" s="127">
        <f>SUM(H270:M270)</f>
        <v>0</v>
      </c>
      <c r="G270" s="174"/>
      <c r="H270" s="174"/>
      <c r="I270" s="174"/>
      <c r="J270" s="174"/>
      <c r="K270" s="174"/>
      <c r="L270" s="174"/>
      <c r="M270" s="174"/>
    </row>
    <row r="271" spans="1:13" s="175" customFormat="1" ht="15" customHeight="1">
      <c r="A271" s="172" t="s">
        <v>323</v>
      </c>
      <c r="B271" s="143"/>
      <c r="C271" s="173"/>
      <c r="D271" s="128">
        <f t="shared" si="48"/>
        <v>0</v>
      </c>
      <c r="E271" s="128"/>
      <c r="F271" s="127">
        <f>SUM(H271:M271)</f>
        <v>0</v>
      </c>
      <c r="G271" s="174"/>
      <c r="H271" s="174"/>
      <c r="I271" s="174"/>
      <c r="J271" s="174"/>
      <c r="K271" s="174"/>
      <c r="L271" s="174"/>
      <c r="M271" s="174"/>
    </row>
    <row r="272" spans="1:13" s="135" customFormat="1" ht="14.25">
      <c r="A272" s="158" t="s">
        <v>152</v>
      </c>
      <c r="B272" s="79">
        <f aca="true" t="shared" si="49" ref="B272:B279">F272</f>
        <v>280981625.05</v>
      </c>
      <c r="C272" s="168">
        <v>0</v>
      </c>
      <c r="D272" s="81">
        <f t="shared" si="48"/>
        <v>280981625.05</v>
      </c>
      <c r="E272" s="160"/>
      <c r="F272" s="22">
        <f aca="true" t="shared" si="50" ref="F272:F283">SUM(H272:M272)</f>
        <v>280981625.05</v>
      </c>
      <c r="G272" s="161">
        <v>0</v>
      </c>
      <c r="H272" s="158">
        <f>131275581.11+18646942.39+131059101.55</f>
        <v>280981625.05</v>
      </c>
      <c r="I272" s="158"/>
      <c r="J272" s="158">
        <v>0</v>
      </c>
      <c r="K272" s="158">
        <v>0</v>
      </c>
      <c r="L272" s="158">
        <v>0</v>
      </c>
      <c r="M272" s="158"/>
    </row>
    <row r="273" spans="1:13" s="135" customFormat="1" ht="14.25">
      <c r="A273" s="178" t="s">
        <v>106</v>
      </c>
      <c r="B273" s="79">
        <f t="shared" si="49"/>
        <v>102738053.33</v>
      </c>
      <c r="C273" s="159">
        <v>0</v>
      </c>
      <c r="D273" s="81">
        <f t="shared" si="48"/>
        <v>102738053.33</v>
      </c>
      <c r="E273" s="160"/>
      <c r="F273" s="22">
        <f t="shared" si="50"/>
        <v>102738053.33</v>
      </c>
      <c r="G273" s="161">
        <v>0</v>
      </c>
      <c r="H273" s="161">
        <v>62518000</v>
      </c>
      <c r="I273" s="161">
        <f>40220053.33</f>
        <v>40220053.33</v>
      </c>
      <c r="J273" s="161">
        <v>0</v>
      </c>
      <c r="K273" s="161">
        <v>0</v>
      </c>
      <c r="L273" s="161">
        <v>0</v>
      </c>
      <c r="M273" s="161">
        <v>0</v>
      </c>
    </row>
    <row r="274" spans="1:13" s="135" customFormat="1" ht="14.25">
      <c r="A274" s="158" t="s">
        <v>313</v>
      </c>
      <c r="B274" s="79">
        <f t="shared" si="49"/>
        <v>275706579.32</v>
      </c>
      <c r="C274" s="168"/>
      <c r="D274" s="81">
        <f t="shared" si="48"/>
        <v>275706579.32</v>
      </c>
      <c r="E274" s="160"/>
      <c r="F274" s="22">
        <f t="shared" si="50"/>
        <v>275706579.32</v>
      </c>
      <c r="G274" s="161"/>
      <c r="H274" s="158">
        <f>90285565.73+92599175.21+92821838.38</f>
        <v>275706579.32</v>
      </c>
      <c r="I274" s="158"/>
      <c r="J274" s="158"/>
      <c r="K274" s="158"/>
      <c r="L274" s="158"/>
      <c r="M274" s="158"/>
    </row>
    <row r="275" spans="1:13" s="135" customFormat="1" ht="14.25">
      <c r="A275" s="158" t="s">
        <v>314</v>
      </c>
      <c r="B275" s="79">
        <f t="shared" si="49"/>
        <v>24581760</v>
      </c>
      <c r="C275" s="168"/>
      <c r="D275" s="81">
        <f t="shared" si="48"/>
        <v>24581760</v>
      </c>
      <c r="E275" s="160"/>
      <c r="F275" s="22">
        <f t="shared" si="50"/>
        <v>24581760</v>
      </c>
      <c r="G275" s="161"/>
      <c r="H275" s="158">
        <v>24581760</v>
      </c>
      <c r="I275" s="158">
        <v>0</v>
      </c>
      <c r="J275" s="158"/>
      <c r="K275" s="158"/>
      <c r="L275" s="158"/>
      <c r="M275" s="158"/>
    </row>
    <row r="276" spans="1:13" s="135" customFormat="1" ht="14.25">
      <c r="A276" s="158" t="s">
        <v>187</v>
      </c>
      <c r="B276" s="79">
        <f t="shared" si="49"/>
        <v>0</v>
      </c>
      <c r="C276" s="159">
        <v>0</v>
      </c>
      <c r="D276" s="81">
        <f t="shared" si="48"/>
        <v>0</v>
      </c>
      <c r="E276" s="160"/>
      <c r="F276" s="22">
        <f t="shared" si="50"/>
        <v>0</v>
      </c>
      <c r="G276" s="161">
        <v>0</v>
      </c>
      <c r="H276" s="158"/>
      <c r="I276" s="158">
        <v>0</v>
      </c>
      <c r="J276" s="158">
        <v>0</v>
      </c>
      <c r="K276" s="158"/>
      <c r="L276" s="158"/>
      <c r="M276" s="158"/>
    </row>
    <row r="277" spans="1:13" s="135" customFormat="1" ht="14.25">
      <c r="A277" s="158" t="s">
        <v>353</v>
      </c>
      <c r="B277" s="79">
        <f t="shared" si="49"/>
        <v>0</v>
      </c>
      <c r="C277" s="159">
        <v>0</v>
      </c>
      <c r="D277" s="81">
        <f t="shared" si="48"/>
        <v>0</v>
      </c>
      <c r="E277" s="160"/>
      <c r="F277" s="22">
        <f t="shared" si="50"/>
        <v>0</v>
      </c>
      <c r="G277" s="161"/>
      <c r="H277" s="158"/>
      <c r="I277" s="158">
        <v>0</v>
      </c>
      <c r="J277" s="158"/>
      <c r="K277" s="158"/>
      <c r="L277" s="158"/>
      <c r="M277" s="158"/>
    </row>
    <row r="278" spans="1:55" s="135" customFormat="1" ht="15">
      <c r="A278" s="158" t="s">
        <v>354</v>
      </c>
      <c r="B278" s="79">
        <f t="shared" si="49"/>
        <v>823302432</v>
      </c>
      <c r="C278" s="159">
        <v>0</v>
      </c>
      <c r="D278" s="81">
        <f t="shared" si="48"/>
        <v>823302432</v>
      </c>
      <c r="E278" s="160"/>
      <c r="F278" s="22">
        <f t="shared" si="50"/>
        <v>823302432</v>
      </c>
      <c r="G278" s="161"/>
      <c r="H278" s="158">
        <f>(32843.5+530457-370000)*2400</f>
        <v>463921200</v>
      </c>
      <c r="I278" s="158">
        <f>149742.18*2400</f>
        <v>359381232</v>
      </c>
      <c r="J278" s="158"/>
      <c r="K278" s="158"/>
      <c r="L278" s="158"/>
      <c r="M278" s="15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</row>
    <row r="279" spans="1:55" s="135" customFormat="1" ht="15">
      <c r="A279" s="158" t="s">
        <v>315</v>
      </c>
      <c r="B279" s="79">
        <f t="shared" si="49"/>
        <v>86900000</v>
      </c>
      <c r="C279" s="159"/>
      <c r="D279" s="81">
        <f t="shared" si="48"/>
        <v>86900000</v>
      </c>
      <c r="E279" s="160"/>
      <c r="F279" s="22">
        <f t="shared" si="50"/>
        <v>86900000</v>
      </c>
      <c r="G279" s="161"/>
      <c r="H279" s="161">
        <v>0</v>
      </c>
      <c r="I279" s="161">
        <v>86900000</v>
      </c>
      <c r="J279" s="161">
        <v>0</v>
      </c>
      <c r="K279" s="161"/>
      <c r="L279" s="161"/>
      <c r="M279" s="167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</row>
    <row r="280" spans="1:55" s="135" customFormat="1" ht="15">
      <c r="A280" s="158" t="s">
        <v>320</v>
      </c>
      <c r="B280" s="79">
        <f>F280</f>
        <v>5596500</v>
      </c>
      <c r="C280" s="159"/>
      <c r="D280" s="81">
        <f t="shared" si="48"/>
        <v>5596500</v>
      </c>
      <c r="E280" s="160"/>
      <c r="F280" s="22">
        <f t="shared" si="50"/>
        <v>5596500</v>
      </c>
      <c r="G280" s="161"/>
      <c r="H280" s="158">
        <f>20500*273</f>
        <v>5596500</v>
      </c>
      <c r="I280" s="169"/>
      <c r="J280" s="158"/>
      <c r="K280" s="158"/>
      <c r="L280" s="158"/>
      <c r="M280" s="158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</row>
    <row r="281" spans="1:55" s="135" customFormat="1" ht="15">
      <c r="A281" s="158" t="s">
        <v>355</v>
      </c>
      <c r="B281" s="79">
        <f>F281</f>
        <v>1286400</v>
      </c>
      <c r="C281" s="159"/>
      <c r="D281" s="81">
        <f t="shared" si="48"/>
        <v>1286400</v>
      </c>
      <c r="E281" s="160"/>
      <c r="F281" s="22">
        <f>SUM(H281:M281)</f>
        <v>1286400</v>
      </c>
      <c r="G281" s="161"/>
      <c r="H281" s="158">
        <f>1286400</f>
        <v>1286400</v>
      </c>
      <c r="I281" s="169"/>
      <c r="J281" s="158"/>
      <c r="K281" s="158"/>
      <c r="L281" s="158"/>
      <c r="M281" s="158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</row>
    <row r="282" spans="1:55" s="135" customFormat="1" ht="15">
      <c r="A282" s="158" t="s">
        <v>356</v>
      </c>
      <c r="B282" s="79">
        <f>F282</f>
        <v>2618000</v>
      </c>
      <c r="C282" s="159"/>
      <c r="D282" s="81">
        <f t="shared" si="48"/>
        <v>2618000</v>
      </c>
      <c r="E282" s="160"/>
      <c r="F282" s="22">
        <f>SUM(H282:M282)</f>
        <v>2618000</v>
      </c>
      <c r="G282" s="161"/>
      <c r="H282" s="158">
        <f>1190*2200</f>
        <v>2618000</v>
      </c>
      <c r="I282" s="169"/>
      <c r="J282" s="158"/>
      <c r="K282" s="158"/>
      <c r="L282" s="158"/>
      <c r="M282" s="158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</row>
    <row r="283" spans="1:55" s="135" customFormat="1" ht="15">
      <c r="A283" s="158" t="s">
        <v>385</v>
      </c>
      <c r="B283" s="79">
        <f>F283</f>
        <v>286000000</v>
      </c>
      <c r="C283" s="159"/>
      <c r="D283" s="81">
        <f t="shared" si="48"/>
        <v>286000000</v>
      </c>
      <c r="E283" s="160"/>
      <c r="F283" s="22">
        <f t="shared" si="50"/>
        <v>286000000</v>
      </c>
      <c r="G283" s="161"/>
      <c r="H283" s="158">
        <f>130000*2200</f>
        <v>286000000</v>
      </c>
      <c r="I283" s="169"/>
      <c r="J283" s="158"/>
      <c r="K283" s="158"/>
      <c r="L283" s="158"/>
      <c r="M283" s="158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</row>
    <row r="284" spans="1:59" ht="15" customHeight="1">
      <c r="A284" s="71"/>
      <c r="B284" s="15">
        <f>SUM(B271:B283)</f>
        <v>1889711349.7</v>
      </c>
      <c r="C284" s="80"/>
      <c r="D284" s="81">
        <f>F284</f>
        <v>3857243.2509</v>
      </c>
      <c r="E284" s="81"/>
      <c r="F284" s="58">
        <f>SUM(H284:M284)</f>
        <v>3857243.2509</v>
      </c>
      <c r="G284" s="58"/>
      <c r="H284" s="71">
        <f>2143.83*1799.23</f>
        <v>3857243.2509</v>
      </c>
      <c r="I284" s="83"/>
      <c r="J284" s="71"/>
      <c r="K284" s="71"/>
      <c r="L284" s="71"/>
      <c r="M284" s="71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</row>
    <row r="285" spans="1:13" s="175" customFormat="1" ht="15" customHeight="1">
      <c r="A285" s="71"/>
      <c r="B285" s="177"/>
      <c r="C285" s="80"/>
      <c r="D285" s="128">
        <f>F285</f>
        <v>0</v>
      </c>
      <c r="E285" s="81"/>
      <c r="F285" s="127">
        <f>SUM(H285:M285)</f>
        <v>0</v>
      </c>
      <c r="G285" s="58"/>
      <c r="H285" s="71"/>
      <c r="I285" s="83"/>
      <c r="J285" s="71"/>
      <c r="K285" s="71"/>
      <c r="L285" s="71"/>
      <c r="M285" s="71"/>
    </row>
    <row r="286" spans="1:59" ht="15" customHeight="1">
      <c r="A286" s="71"/>
      <c r="B286" s="79"/>
      <c r="C286" s="80"/>
      <c r="D286" s="81"/>
      <c r="E286" s="81"/>
      <c r="F286" s="58"/>
      <c r="G286" s="16"/>
      <c r="H286" s="134"/>
      <c r="I286" s="134"/>
      <c r="J286" s="134"/>
      <c r="K286" s="134"/>
      <c r="L286" s="134"/>
      <c r="M286" s="136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</row>
    <row r="287" spans="1:13" s="175" customFormat="1" ht="15">
      <c r="A287" s="82" t="s">
        <v>188</v>
      </c>
      <c r="B287" s="143">
        <f>F287+G287</f>
        <v>0</v>
      </c>
      <c r="C287" s="80"/>
      <c r="D287" s="128">
        <f>F287</f>
        <v>0</v>
      </c>
      <c r="E287" s="81"/>
      <c r="F287" s="127">
        <f>SUM(H287:M287)</f>
        <v>0</v>
      </c>
      <c r="G287" s="58"/>
      <c r="H287" s="71"/>
      <c r="I287" s="83"/>
      <c r="J287" s="71"/>
      <c r="K287" s="71"/>
      <c r="L287" s="71"/>
      <c r="M287" s="123"/>
    </row>
    <row r="288" spans="1:13" s="135" customFormat="1" ht="14.25">
      <c r="A288" s="161" t="s">
        <v>189</v>
      </c>
      <c r="B288" s="79">
        <f>F288</f>
        <v>946892069.1</v>
      </c>
      <c r="C288" s="159"/>
      <c r="D288" s="81">
        <f>F288</f>
        <v>946892069.1</v>
      </c>
      <c r="E288" s="160"/>
      <c r="F288" s="22">
        <f>SUM(H288:M288)</f>
        <v>946892069.1</v>
      </c>
      <c r="G288" s="161"/>
      <c r="H288" s="161">
        <f>473446034.55+473446034.55</f>
        <v>946892069.1</v>
      </c>
      <c r="I288" s="166">
        <v>0</v>
      </c>
      <c r="J288" s="161">
        <v>0</v>
      </c>
      <c r="K288" s="161"/>
      <c r="L288" s="161"/>
      <c r="M288" s="167"/>
    </row>
    <row r="289" spans="1:55" s="135" customFormat="1" ht="15">
      <c r="A289" s="158" t="s">
        <v>253</v>
      </c>
      <c r="B289" s="79">
        <f aca="true" t="shared" si="51" ref="B289:B295">F289</f>
        <v>0</v>
      </c>
      <c r="C289" s="159"/>
      <c r="D289" s="81">
        <f aca="true" t="shared" si="52" ref="D289:D295">F289</f>
        <v>0</v>
      </c>
      <c r="E289" s="160"/>
      <c r="F289" s="22">
        <f aca="true" t="shared" si="53" ref="F289:F295">SUM(H289:M289)</f>
        <v>0</v>
      </c>
      <c r="G289" s="161"/>
      <c r="H289" s="161">
        <v>0</v>
      </c>
      <c r="I289" s="161">
        <v>0</v>
      </c>
      <c r="J289" s="161"/>
      <c r="K289" s="161"/>
      <c r="L289" s="161"/>
      <c r="M289" s="167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</row>
    <row r="290" spans="1:55" s="135" customFormat="1" ht="15">
      <c r="A290" s="158" t="s">
        <v>298</v>
      </c>
      <c r="B290" s="79">
        <f t="shared" si="51"/>
        <v>0</v>
      </c>
      <c r="C290" s="159"/>
      <c r="D290" s="81">
        <f t="shared" si="52"/>
        <v>0</v>
      </c>
      <c r="E290" s="160"/>
      <c r="F290" s="22">
        <f t="shared" si="53"/>
        <v>0</v>
      </c>
      <c r="G290" s="161"/>
      <c r="H290" s="161">
        <v>0</v>
      </c>
      <c r="I290" s="166">
        <v>0</v>
      </c>
      <c r="J290" s="161"/>
      <c r="K290" s="161"/>
      <c r="L290" s="161"/>
      <c r="M290" s="167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</row>
    <row r="291" spans="1:55" s="135" customFormat="1" ht="15">
      <c r="A291" s="158" t="s">
        <v>186</v>
      </c>
      <c r="B291" s="79">
        <f t="shared" si="51"/>
        <v>0</v>
      </c>
      <c r="C291" s="159"/>
      <c r="D291" s="81">
        <f t="shared" si="52"/>
        <v>0</v>
      </c>
      <c r="E291" s="160"/>
      <c r="F291" s="22">
        <f t="shared" si="53"/>
        <v>0</v>
      </c>
      <c r="G291" s="161"/>
      <c r="H291" s="161">
        <v>0</v>
      </c>
      <c r="I291" s="161">
        <v>0</v>
      </c>
      <c r="J291" s="161"/>
      <c r="K291" s="161"/>
      <c r="L291" s="161"/>
      <c r="M291" s="167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</row>
    <row r="292" spans="1:55" s="135" customFormat="1" ht="15">
      <c r="A292" s="158" t="s">
        <v>299</v>
      </c>
      <c r="B292" s="79">
        <f t="shared" si="51"/>
        <v>0</v>
      </c>
      <c r="C292" s="159"/>
      <c r="D292" s="81">
        <f t="shared" si="52"/>
        <v>0</v>
      </c>
      <c r="E292" s="160"/>
      <c r="F292" s="22">
        <f t="shared" si="53"/>
        <v>0</v>
      </c>
      <c r="G292" s="161"/>
      <c r="H292" s="161">
        <v>0</v>
      </c>
      <c r="I292" s="166">
        <v>0</v>
      </c>
      <c r="J292" s="161"/>
      <c r="K292" s="161"/>
      <c r="L292" s="161"/>
      <c r="M292" s="167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</row>
    <row r="293" spans="1:13" s="135" customFormat="1" ht="14.25">
      <c r="A293" s="158" t="s">
        <v>300</v>
      </c>
      <c r="B293" s="79">
        <f t="shared" si="51"/>
        <v>0</v>
      </c>
      <c r="C293" s="159"/>
      <c r="D293" s="81">
        <f t="shared" si="52"/>
        <v>0</v>
      </c>
      <c r="E293" s="160"/>
      <c r="F293" s="22">
        <f t="shared" si="53"/>
        <v>0</v>
      </c>
      <c r="G293" s="161"/>
      <c r="H293" s="161">
        <v>0</v>
      </c>
      <c r="I293" s="166">
        <v>0</v>
      </c>
      <c r="J293" s="161"/>
      <c r="K293" s="161"/>
      <c r="L293" s="161"/>
      <c r="M293" s="167"/>
    </row>
    <row r="294" spans="1:13" s="135" customFormat="1" ht="14.25">
      <c r="A294" s="158" t="s">
        <v>311</v>
      </c>
      <c r="B294" s="79">
        <f t="shared" si="51"/>
        <v>0</v>
      </c>
      <c r="C294" s="159"/>
      <c r="D294" s="81">
        <f t="shared" si="52"/>
        <v>0</v>
      </c>
      <c r="E294" s="160"/>
      <c r="F294" s="22">
        <f t="shared" si="53"/>
        <v>0</v>
      </c>
      <c r="G294" s="161"/>
      <c r="H294" s="161">
        <v>0</v>
      </c>
      <c r="I294" s="166">
        <v>0</v>
      </c>
      <c r="J294" s="161"/>
      <c r="K294" s="161"/>
      <c r="L294" s="161"/>
      <c r="M294" s="167"/>
    </row>
    <row r="295" spans="1:13" s="135" customFormat="1" ht="14.25">
      <c r="A295" s="158" t="s">
        <v>312</v>
      </c>
      <c r="B295" s="79">
        <f t="shared" si="51"/>
        <v>0</v>
      </c>
      <c r="C295" s="159"/>
      <c r="D295" s="81">
        <f t="shared" si="52"/>
        <v>0</v>
      </c>
      <c r="E295" s="160"/>
      <c r="F295" s="22">
        <f t="shared" si="53"/>
        <v>0</v>
      </c>
      <c r="G295" s="161"/>
      <c r="H295" s="161">
        <v>0</v>
      </c>
      <c r="I295" s="166">
        <v>0</v>
      </c>
      <c r="J295" s="161"/>
      <c r="K295" s="161"/>
      <c r="L295" s="161"/>
      <c r="M295" s="167"/>
    </row>
    <row r="296" spans="1:13" s="175" customFormat="1" ht="15" customHeight="1">
      <c r="A296" s="71"/>
      <c r="B296" s="177">
        <f>SUM(B288:B295)</f>
        <v>946892069.1</v>
      </c>
      <c r="C296" s="80"/>
      <c r="D296" s="128">
        <f aca="true" t="shared" si="54" ref="D296:D301">F296</f>
        <v>0</v>
      </c>
      <c r="E296" s="81"/>
      <c r="F296" s="127">
        <f aca="true" t="shared" si="55" ref="F296:F301">SUM(H296:M296)</f>
        <v>0</v>
      </c>
      <c r="G296" s="58"/>
      <c r="H296" s="71"/>
      <c r="I296" s="83"/>
      <c r="J296" s="71"/>
      <c r="K296" s="71"/>
      <c r="L296" s="71"/>
      <c r="M296" s="71"/>
    </row>
    <row r="297" spans="1:13" s="175" customFormat="1" ht="15" customHeight="1">
      <c r="A297" s="71"/>
      <c r="B297" s="143"/>
      <c r="C297" s="80"/>
      <c r="D297" s="128">
        <f t="shared" si="54"/>
        <v>0</v>
      </c>
      <c r="E297" s="81"/>
      <c r="F297" s="127">
        <f t="shared" si="55"/>
        <v>0</v>
      </c>
      <c r="G297" s="58"/>
      <c r="H297" s="71"/>
      <c r="I297" s="83"/>
      <c r="J297" s="71"/>
      <c r="K297" s="71"/>
      <c r="L297" s="71"/>
      <c r="M297" s="71"/>
    </row>
    <row r="298" spans="1:59" ht="15" customHeight="1">
      <c r="A298" s="82" t="s">
        <v>263</v>
      </c>
      <c r="B298" s="79">
        <f>F298+G298</f>
        <v>0</v>
      </c>
      <c r="C298" s="80"/>
      <c r="D298" s="81">
        <f t="shared" si="54"/>
        <v>0</v>
      </c>
      <c r="E298" s="81"/>
      <c r="F298" s="58">
        <f t="shared" si="55"/>
        <v>0</v>
      </c>
      <c r="G298" s="58"/>
      <c r="H298" s="58"/>
      <c r="I298" s="79">
        <v>0</v>
      </c>
      <c r="J298" s="58"/>
      <c r="K298" s="58"/>
      <c r="L298" s="58"/>
      <c r="M298" s="121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</row>
    <row r="299" spans="1:13" s="135" customFormat="1" ht="14.25">
      <c r="A299" s="158" t="s">
        <v>182</v>
      </c>
      <c r="B299" s="79">
        <f>F299</f>
        <v>0</v>
      </c>
      <c r="C299" s="159"/>
      <c r="D299" s="81">
        <f t="shared" si="54"/>
        <v>0</v>
      </c>
      <c r="E299" s="160"/>
      <c r="F299" s="22">
        <f t="shared" si="55"/>
        <v>0</v>
      </c>
      <c r="G299" s="161"/>
      <c r="H299" s="161"/>
      <c r="I299" s="166">
        <v>0</v>
      </c>
      <c r="J299" s="166">
        <v>0</v>
      </c>
      <c r="K299" s="161"/>
      <c r="L299" s="161"/>
      <c r="M299" s="167"/>
    </row>
    <row r="300" spans="1:13" s="135" customFormat="1" ht="14.25">
      <c r="A300" s="158" t="s">
        <v>289</v>
      </c>
      <c r="B300" s="79">
        <f>F300</f>
        <v>124396522.01</v>
      </c>
      <c r="C300" s="159"/>
      <c r="D300" s="81">
        <f t="shared" si="54"/>
        <v>124396522.01</v>
      </c>
      <c r="E300" s="160"/>
      <c r="F300" s="22">
        <f t="shared" si="55"/>
        <v>124396522.01</v>
      </c>
      <c r="G300" s="161"/>
      <c r="H300" s="161">
        <v>124396522.01</v>
      </c>
      <c r="I300" s="166">
        <v>0</v>
      </c>
      <c r="J300" s="161">
        <v>0</v>
      </c>
      <c r="K300" s="161"/>
      <c r="L300" s="161"/>
      <c r="M300" s="167"/>
    </row>
    <row r="301" spans="1:13" s="135" customFormat="1" ht="14.25">
      <c r="A301" s="158" t="s">
        <v>290</v>
      </c>
      <c r="B301" s="79">
        <f>F301</f>
        <v>199091310.32</v>
      </c>
      <c r="C301" s="159"/>
      <c r="D301" s="81">
        <f t="shared" si="54"/>
        <v>199091310.32</v>
      </c>
      <c r="E301" s="160"/>
      <c r="F301" s="22">
        <f t="shared" si="55"/>
        <v>199091310.32</v>
      </c>
      <c r="G301" s="161"/>
      <c r="H301" s="161">
        <v>124396522.01</v>
      </c>
      <c r="I301" s="166">
        <v>0</v>
      </c>
      <c r="J301" s="161">
        <f>74694788.31</f>
        <v>74694788.31</v>
      </c>
      <c r="K301" s="166">
        <v>0</v>
      </c>
      <c r="L301" s="161"/>
      <c r="M301" s="167"/>
    </row>
    <row r="302" spans="1:59" ht="15" customHeight="1">
      <c r="A302" s="71"/>
      <c r="B302" s="145">
        <f>SUM(B299:B301)</f>
        <v>323487832.33</v>
      </c>
      <c r="C302" s="80"/>
      <c r="D302" s="81"/>
      <c r="E302" s="81"/>
      <c r="F302" s="58"/>
      <c r="G302" s="58"/>
      <c r="H302" s="71"/>
      <c r="I302" s="83"/>
      <c r="J302" s="71"/>
      <c r="K302" s="71"/>
      <c r="L302" s="71"/>
      <c r="M302" s="123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</row>
    <row r="303" spans="1:13" s="175" customFormat="1" ht="15">
      <c r="A303" s="82" t="s">
        <v>190</v>
      </c>
      <c r="B303" s="143">
        <f>F303+G303</f>
        <v>0</v>
      </c>
      <c r="C303" s="80"/>
      <c r="D303" s="128">
        <f aca="true" t="shared" si="56" ref="D303:D309">F303</f>
        <v>0</v>
      </c>
      <c r="E303" s="81"/>
      <c r="F303" s="127">
        <f aca="true" t="shared" si="57" ref="F303:F311">SUM(H303:M303)</f>
        <v>0</v>
      </c>
      <c r="G303" s="58"/>
      <c r="H303" s="71"/>
      <c r="I303" s="83"/>
      <c r="J303" s="71"/>
      <c r="K303" s="71"/>
      <c r="L303" s="71"/>
      <c r="M303" s="71"/>
    </row>
    <row r="304" spans="1:13" s="135" customFormat="1" ht="14.25">
      <c r="A304" s="158" t="s">
        <v>107</v>
      </c>
      <c r="B304" s="79">
        <f>F304</f>
        <v>0</v>
      </c>
      <c r="C304" s="159"/>
      <c r="D304" s="81">
        <f t="shared" si="56"/>
        <v>0</v>
      </c>
      <c r="E304" s="160"/>
      <c r="F304" s="22">
        <f t="shared" si="57"/>
        <v>0</v>
      </c>
      <c r="G304" s="161"/>
      <c r="H304" s="161">
        <v>0</v>
      </c>
      <c r="I304" s="161">
        <v>0</v>
      </c>
      <c r="J304" s="161">
        <v>0</v>
      </c>
      <c r="K304" s="161">
        <v>0</v>
      </c>
      <c r="L304" s="162">
        <v>0</v>
      </c>
      <c r="M304" s="163"/>
    </row>
    <row r="305" spans="1:13" s="135" customFormat="1" ht="14.25">
      <c r="A305" s="158" t="s">
        <v>108</v>
      </c>
      <c r="B305" s="79">
        <f>F305</f>
        <v>0</v>
      </c>
      <c r="C305" s="164">
        <v>0</v>
      </c>
      <c r="D305" s="81">
        <f t="shared" si="56"/>
        <v>0</v>
      </c>
      <c r="E305" s="165">
        <v>0</v>
      </c>
      <c r="F305" s="22">
        <f t="shared" si="57"/>
        <v>0</v>
      </c>
      <c r="G305" s="166">
        <v>0</v>
      </c>
      <c r="H305" s="161">
        <v>0</v>
      </c>
      <c r="I305" s="161">
        <v>0</v>
      </c>
      <c r="J305" s="161">
        <v>0</v>
      </c>
      <c r="K305" s="161">
        <v>0</v>
      </c>
      <c r="L305" s="161">
        <v>0</v>
      </c>
      <c r="M305" s="161">
        <v>0</v>
      </c>
    </row>
    <row r="306" spans="1:13" s="135" customFormat="1" ht="14.25">
      <c r="A306" s="158" t="s">
        <v>408</v>
      </c>
      <c r="B306" s="79">
        <f>F306</f>
        <v>25090427.13</v>
      </c>
      <c r="C306" s="164"/>
      <c r="D306" s="81"/>
      <c r="E306" s="165"/>
      <c r="F306" s="22">
        <f t="shared" si="57"/>
        <v>25090427.13</v>
      </c>
      <c r="G306" s="166"/>
      <c r="H306" s="161">
        <v>25090427.13</v>
      </c>
      <c r="I306" s="161"/>
      <c r="J306" s="161"/>
      <c r="K306" s="161"/>
      <c r="L306" s="161"/>
      <c r="M306" s="161"/>
    </row>
    <row r="307" spans="1:13" s="135" customFormat="1" ht="14.25">
      <c r="A307" s="158" t="s">
        <v>327</v>
      </c>
      <c r="B307" s="79">
        <f>F307</f>
        <v>48500000</v>
      </c>
      <c r="C307" s="164">
        <v>0</v>
      </c>
      <c r="D307" s="81">
        <f t="shared" si="56"/>
        <v>48500000</v>
      </c>
      <c r="E307" s="165">
        <v>0</v>
      </c>
      <c r="F307" s="22">
        <f t="shared" si="57"/>
        <v>48500000</v>
      </c>
      <c r="G307" s="166">
        <v>0</v>
      </c>
      <c r="H307" s="161">
        <f>48500000</f>
        <v>48500000</v>
      </c>
      <c r="I307" s="161">
        <v>0</v>
      </c>
      <c r="J307" s="161">
        <v>0</v>
      </c>
      <c r="K307" s="161">
        <v>0</v>
      </c>
      <c r="L307" s="161">
        <v>0</v>
      </c>
      <c r="M307" s="161">
        <v>0</v>
      </c>
    </row>
    <row r="308" spans="1:13" s="135" customFormat="1" ht="14.25">
      <c r="A308" s="158" t="s">
        <v>341</v>
      </c>
      <c r="B308" s="79">
        <f>F308</f>
        <v>500000</v>
      </c>
      <c r="C308" s="164">
        <v>0</v>
      </c>
      <c r="D308" s="81">
        <f t="shared" si="56"/>
        <v>500000</v>
      </c>
      <c r="E308" s="165">
        <v>0</v>
      </c>
      <c r="F308" s="22">
        <f t="shared" si="57"/>
        <v>500000</v>
      </c>
      <c r="G308" s="166">
        <v>0</v>
      </c>
      <c r="H308" s="161">
        <f>500000</f>
        <v>500000</v>
      </c>
      <c r="I308" s="161">
        <v>0</v>
      </c>
      <c r="J308" s="161">
        <v>0</v>
      </c>
      <c r="K308" s="161">
        <v>0</v>
      </c>
      <c r="L308" s="161">
        <v>0</v>
      </c>
      <c r="M308" s="161">
        <v>0</v>
      </c>
    </row>
    <row r="309" spans="1:13" s="175" customFormat="1" ht="15">
      <c r="A309" s="71"/>
      <c r="B309" s="177">
        <f>SUM(B304:B308)</f>
        <v>74090427.13</v>
      </c>
      <c r="C309" s="80">
        <v>0</v>
      </c>
      <c r="D309" s="81">
        <f t="shared" si="56"/>
        <v>232000000</v>
      </c>
      <c r="E309" s="81">
        <v>0</v>
      </c>
      <c r="F309" s="127">
        <f t="shared" si="57"/>
        <v>232000000</v>
      </c>
      <c r="G309" s="58">
        <v>0</v>
      </c>
      <c r="H309" s="58">
        <f>232000000</f>
        <v>232000000</v>
      </c>
      <c r="I309" s="58">
        <v>0</v>
      </c>
      <c r="J309" s="58">
        <v>0</v>
      </c>
      <c r="K309" s="121">
        <v>0</v>
      </c>
      <c r="L309" s="58">
        <v>0</v>
      </c>
      <c r="M309" s="122">
        <v>0</v>
      </c>
    </row>
    <row r="310" spans="1:13" s="175" customFormat="1" ht="14.25">
      <c r="A310" s="58"/>
      <c r="B310" s="17">
        <f>F310+G310</f>
        <v>0</v>
      </c>
      <c r="C310" s="152"/>
      <c r="D310" s="153"/>
      <c r="E310" s="81"/>
      <c r="F310" s="58">
        <f t="shared" si="57"/>
        <v>0</v>
      </c>
      <c r="G310" s="58"/>
      <c r="H310" s="58"/>
      <c r="I310" s="58"/>
      <c r="J310" s="113"/>
      <c r="K310" s="113"/>
      <c r="L310" s="113"/>
      <c r="M310" s="113"/>
    </row>
    <row r="311" spans="1:13" s="175" customFormat="1" ht="15" customHeight="1">
      <c r="A311" s="144" t="s">
        <v>208</v>
      </c>
      <c r="B311" s="143">
        <f>F311+G311</f>
        <v>0</v>
      </c>
      <c r="C311" s="80"/>
      <c r="D311" s="81">
        <v>0</v>
      </c>
      <c r="E311" s="81"/>
      <c r="F311" s="127">
        <f t="shared" si="57"/>
        <v>0</v>
      </c>
      <c r="G311" s="58"/>
      <c r="H311" s="58"/>
      <c r="I311" s="79"/>
      <c r="J311" s="58"/>
      <c r="K311" s="58"/>
      <c r="L311" s="58"/>
      <c r="M311" s="58"/>
    </row>
    <row r="312" spans="1:13" s="135" customFormat="1" ht="14.25">
      <c r="A312" s="149" t="s">
        <v>209</v>
      </c>
      <c r="B312" s="166">
        <f aca="true" t="shared" si="58" ref="B312:B329">F312</f>
        <v>39990000</v>
      </c>
      <c r="C312" s="147"/>
      <c r="D312" s="148">
        <v>530000</v>
      </c>
      <c r="E312" s="148"/>
      <c r="F312" s="58">
        <f aca="true" t="shared" si="59" ref="F312:F329">SUM(H312:M312)</f>
        <v>39990000</v>
      </c>
      <c r="G312" s="149"/>
      <c r="H312" s="149">
        <f>27500000+8250000+2120000+2120000</f>
        <v>39990000</v>
      </c>
      <c r="I312" s="150"/>
      <c r="J312" s="149"/>
      <c r="K312" s="149"/>
      <c r="L312" s="149"/>
      <c r="M312" s="149"/>
    </row>
    <row r="313" spans="1:13" s="135" customFormat="1" ht="14.25">
      <c r="A313" s="149" t="s">
        <v>210</v>
      </c>
      <c r="B313" s="166">
        <f t="shared" si="58"/>
        <v>22119600</v>
      </c>
      <c r="C313" s="147"/>
      <c r="D313" s="148"/>
      <c r="E313" s="148"/>
      <c r="F313" s="58">
        <f t="shared" si="59"/>
        <v>22119600</v>
      </c>
      <c r="G313" s="149"/>
      <c r="H313" s="149">
        <f>14419600+7700000</f>
        <v>22119600</v>
      </c>
      <c r="I313" s="150">
        <f>7700000-7700000</f>
        <v>0</v>
      </c>
      <c r="J313" s="149"/>
      <c r="K313" s="149"/>
      <c r="L313" s="149"/>
      <c r="M313" s="149"/>
    </row>
    <row r="314" spans="1:13" s="135" customFormat="1" ht="14.25">
      <c r="A314" s="149" t="s">
        <v>147</v>
      </c>
      <c r="B314" s="166">
        <f t="shared" si="58"/>
        <v>3240000</v>
      </c>
      <c r="C314" s="147"/>
      <c r="D314" s="148"/>
      <c r="E314" s="148"/>
      <c r="F314" s="58">
        <f t="shared" si="59"/>
        <v>3240000</v>
      </c>
      <c r="G314" s="149"/>
      <c r="H314" s="149">
        <f>400000+1600000+400000+840000</f>
        <v>3240000</v>
      </c>
      <c r="I314" s="149"/>
      <c r="J314" s="149"/>
      <c r="K314" s="149"/>
      <c r="L314" s="149"/>
      <c r="M314" s="149"/>
    </row>
    <row r="315" spans="1:13" s="135" customFormat="1" ht="14.25">
      <c r="A315" s="151" t="s">
        <v>250</v>
      </c>
      <c r="B315" s="166">
        <f t="shared" si="58"/>
        <v>28036000</v>
      </c>
      <c r="C315" s="147"/>
      <c r="D315" s="148"/>
      <c r="E315" s="148"/>
      <c r="F315" s="58">
        <f t="shared" si="59"/>
        <v>28036000</v>
      </c>
      <c r="G315" s="149"/>
      <c r="H315" s="149">
        <f>15400000-15400000+(11880*2200)+1900000</f>
        <v>28036000</v>
      </c>
      <c r="I315" s="150"/>
      <c r="J315" s="149"/>
      <c r="K315" s="149"/>
      <c r="L315" s="149"/>
      <c r="M315" s="149"/>
    </row>
    <row r="316" spans="1:13" s="135" customFormat="1" ht="14.25">
      <c r="A316" s="149" t="s">
        <v>255</v>
      </c>
      <c r="B316" s="166">
        <f t="shared" si="58"/>
        <v>17095000</v>
      </c>
      <c r="C316" s="147"/>
      <c r="D316" s="148"/>
      <c r="E316" s="148"/>
      <c r="F316" s="58">
        <f t="shared" si="59"/>
        <v>17095000</v>
      </c>
      <c r="G316" s="149"/>
      <c r="H316" s="149">
        <f>16245000+850000</f>
        <v>17095000</v>
      </c>
      <c r="I316" s="149"/>
      <c r="J316" s="149"/>
      <c r="K316" s="149"/>
      <c r="L316" s="149"/>
      <c r="M316" s="149"/>
    </row>
    <row r="317" spans="1:13" s="135" customFormat="1" ht="14.25">
      <c r="A317" s="149" t="s">
        <v>283</v>
      </c>
      <c r="B317" s="166">
        <f t="shared" si="58"/>
        <v>16136000</v>
      </c>
      <c r="C317" s="147"/>
      <c r="D317" s="148"/>
      <c r="E317" s="148"/>
      <c r="F317" s="58">
        <f t="shared" si="59"/>
        <v>16136000</v>
      </c>
      <c r="G317" s="149"/>
      <c r="H317" s="149">
        <f>16136000</f>
        <v>16136000</v>
      </c>
      <c r="I317" s="150"/>
      <c r="J317" s="149"/>
      <c r="K317" s="149"/>
      <c r="L317" s="149"/>
      <c r="M317" s="149"/>
    </row>
    <row r="318" spans="1:13" s="135" customFormat="1" ht="14.25">
      <c r="A318" s="149" t="s">
        <v>328</v>
      </c>
      <c r="B318" s="166">
        <f t="shared" si="58"/>
        <v>1000000</v>
      </c>
      <c r="C318" s="147"/>
      <c r="D318" s="148"/>
      <c r="E318" s="148"/>
      <c r="F318" s="58">
        <f t="shared" si="59"/>
        <v>1000000</v>
      </c>
      <c r="G318" s="149"/>
      <c r="H318" s="149">
        <f>1000000</f>
        <v>1000000</v>
      </c>
      <c r="I318" s="150"/>
      <c r="J318" s="149"/>
      <c r="K318" s="149"/>
      <c r="L318" s="149"/>
      <c r="M318" s="149"/>
    </row>
    <row r="319" spans="1:13" s="135" customFormat="1" ht="14.25">
      <c r="A319" s="149" t="s">
        <v>291</v>
      </c>
      <c r="B319" s="166">
        <f t="shared" si="58"/>
        <v>4128000</v>
      </c>
      <c r="C319" s="147"/>
      <c r="D319" s="148"/>
      <c r="E319" s="148"/>
      <c r="F319" s="58">
        <f t="shared" si="59"/>
        <v>4128000</v>
      </c>
      <c r="G319" s="149"/>
      <c r="H319" s="149">
        <f>4128000</f>
        <v>4128000</v>
      </c>
      <c r="I319" s="150"/>
      <c r="J319" s="149"/>
      <c r="K319" s="149"/>
      <c r="L319" s="149"/>
      <c r="M319" s="149"/>
    </row>
    <row r="320" spans="1:13" s="135" customFormat="1" ht="14.25">
      <c r="A320" s="149" t="s">
        <v>292</v>
      </c>
      <c r="B320" s="166">
        <f t="shared" si="58"/>
        <v>5991213</v>
      </c>
      <c r="C320" s="147"/>
      <c r="D320" s="148"/>
      <c r="E320" s="148"/>
      <c r="F320" s="58">
        <f t="shared" si="59"/>
        <v>5991213</v>
      </c>
      <c r="G320" s="149"/>
      <c r="H320" s="149">
        <f>5991213</f>
        <v>5991213</v>
      </c>
      <c r="I320" s="150"/>
      <c r="J320" s="149"/>
      <c r="K320" s="149"/>
      <c r="L320" s="149"/>
      <c r="M320" s="149"/>
    </row>
    <row r="321" spans="1:13" s="135" customFormat="1" ht="14.25">
      <c r="A321" s="149" t="s">
        <v>293</v>
      </c>
      <c r="B321" s="166">
        <f t="shared" si="58"/>
        <v>26485200</v>
      </c>
      <c r="C321" s="147"/>
      <c r="D321" s="148"/>
      <c r="E321" s="148"/>
      <c r="F321" s="58">
        <f t="shared" si="59"/>
        <v>26485200</v>
      </c>
      <c r="G321" s="149"/>
      <c r="H321" s="149">
        <f>26485200</f>
        <v>26485200</v>
      </c>
      <c r="I321" s="150"/>
      <c r="J321" s="149"/>
      <c r="K321" s="149"/>
      <c r="L321" s="149"/>
      <c r="M321" s="149"/>
    </row>
    <row r="322" spans="1:13" s="135" customFormat="1" ht="14.25">
      <c r="A322" s="149" t="s">
        <v>310</v>
      </c>
      <c r="B322" s="166">
        <f t="shared" si="58"/>
        <v>5310000</v>
      </c>
      <c r="C322" s="147"/>
      <c r="D322" s="148"/>
      <c r="E322" s="148"/>
      <c r="F322" s="58">
        <f t="shared" si="59"/>
        <v>5310000</v>
      </c>
      <c r="G322" s="149"/>
      <c r="H322" s="149">
        <f>3540000+1770000</f>
        <v>5310000</v>
      </c>
      <c r="I322" s="150"/>
      <c r="J322" s="149"/>
      <c r="K322" s="149"/>
      <c r="L322" s="149"/>
      <c r="M322" s="149"/>
    </row>
    <row r="323" spans="1:13" s="135" customFormat="1" ht="14.25">
      <c r="A323" s="149" t="s">
        <v>329</v>
      </c>
      <c r="B323" s="166">
        <f t="shared" si="58"/>
        <v>7253717.399999999</v>
      </c>
      <c r="C323" s="147"/>
      <c r="D323" s="148"/>
      <c r="E323" s="148"/>
      <c r="F323" s="58">
        <f t="shared" si="59"/>
        <v>7253717.399999999</v>
      </c>
      <c r="G323" s="149"/>
      <c r="H323" s="149">
        <f>3249*2232.6</f>
        <v>7253717.399999999</v>
      </c>
      <c r="I323" s="150"/>
      <c r="J323" s="149"/>
      <c r="K323" s="149"/>
      <c r="L323" s="149"/>
      <c r="M323" s="149"/>
    </row>
    <row r="324" spans="1:13" s="135" customFormat="1" ht="14.25">
      <c r="A324" s="149" t="s">
        <v>330</v>
      </c>
      <c r="B324" s="166">
        <f t="shared" si="58"/>
        <v>7900000</v>
      </c>
      <c r="C324" s="147"/>
      <c r="D324" s="148"/>
      <c r="E324" s="148"/>
      <c r="F324" s="58">
        <f t="shared" si="59"/>
        <v>7900000</v>
      </c>
      <c r="G324" s="149"/>
      <c r="H324" s="149">
        <f>7900000</f>
        <v>7900000</v>
      </c>
      <c r="I324" s="150"/>
      <c r="J324" s="149"/>
      <c r="K324" s="149"/>
      <c r="L324" s="149"/>
      <c r="M324" s="149"/>
    </row>
    <row r="325" spans="1:13" s="135" customFormat="1" ht="14.25">
      <c r="A325" s="149" t="s">
        <v>331</v>
      </c>
      <c r="B325" s="166">
        <f t="shared" si="58"/>
        <v>4958072.424</v>
      </c>
      <c r="C325" s="147"/>
      <c r="D325" s="148"/>
      <c r="E325" s="148"/>
      <c r="F325" s="58">
        <f t="shared" si="59"/>
        <v>4958072.424</v>
      </c>
      <c r="G325" s="149"/>
      <c r="H325" s="149">
        <f>1213.24*2232.6+2249392.8</f>
        <v>4958072.424</v>
      </c>
      <c r="I325" s="150"/>
      <c r="J325" s="149"/>
      <c r="K325" s="149"/>
      <c r="L325" s="149"/>
      <c r="M325" s="149"/>
    </row>
    <row r="326" spans="1:13" s="135" customFormat="1" ht="14.25">
      <c r="A326" s="161" t="s">
        <v>332</v>
      </c>
      <c r="B326" s="166">
        <f t="shared" si="58"/>
        <v>22050000</v>
      </c>
      <c r="C326" s="147"/>
      <c r="D326" s="148"/>
      <c r="E326" s="148"/>
      <c r="F326" s="58">
        <f t="shared" si="59"/>
        <v>22050000</v>
      </c>
      <c r="G326" s="149"/>
      <c r="H326" s="149">
        <f>22050000</f>
        <v>22050000</v>
      </c>
      <c r="I326" s="150"/>
      <c r="J326" s="149"/>
      <c r="K326" s="149"/>
      <c r="L326" s="149"/>
      <c r="M326" s="149"/>
    </row>
    <row r="327" spans="1:13" s="135" customFormat="1" ht="14.25">
      <c r="A327" s="58" t="s">
        <v>342</v>
      </c>
      <c r="B327" s="79">
        <f t="shared" si="58"/>
        <v>25054400</v>
      </c>
      <c r="C327" s="80"/>
      <c r="D327" s="81"/>
      <c r="E327" s="81"/>
      <c r="F327" s="58">
        <f t="shared" si="59"/>
        <v>25054400</v>
      </c>
      <c r="G327" s="58"/>
      <c r="H327" s="58">
        <f>2237*11200</f>
        <v>25054400</v>
      </c>
      <c r="I327" s="79"/>
      <c r="J327" s="58"/>
      <c r="K327" s="58"/>
      <c r="L327" s="58"/>
      <c r="M327" s="58"/>
    </row>
    <row r="328" spans="1:13" s="135" customFormat="1" ht="14.25">
      <c r="A328" s="58" t="s">
        <v>147</v>
      </c>
      <c r="B328" s="79">
        <f t="shared" si="58"/>
        <v>28254400</v>
      </c>
      <c r="C328" s="80"/>
      <c r="D328" s="81"/>
      <c r="E328" s="81"/>
      <c r="F328" s="58">
        <f t="shared" si="59"/>
        <v>28254400</v>
      </c>
      <c r="G328" s="58"/>
      <c r="H328" s="58">
        <f>2237*11200+2000000+400000+800000</f>
        <v>28254400</v>
      </c>
      <c r="I328" s="79"/>
      <c r="J328" s="58"/>
      <c r="K328" s="58"/>
      <c r="L328" s="58"/>
      <c r="M328" s="121"/>
    </row>
    <row r="329" spans="1:13" s="135" customFormat="1" ht="14.25">
      <c r="A329" s="58" t="s">
        <v>343</v>
      </c>
      <c r="B329" s="79">
        <f t="shared" si="58"/>
        <v>4000000</v>
      </c>
      <c r="C329" s="80"/>
      <c r="D329" s="81"/>
      <c r="E329" s="81"/>
      <c r="F329" s="58">
        <f t="shared" si="59"/>
        <v>4000000</v>
      </c>
      <c r="G329" s="58"/>
      <c r="H329" s="58">
        <f>4000000</f>
        <v>4000000</v>
      </c>
      <c r="I329" s="79"/>
      <c r="J329" s="58"/>
      <c r="K329" s="58"/>
      <c r="L329" s="58"/>
      <c r="M329" s="121"/>
    </row>
    <row r="330" spans="1:13" s="135" customFormat="1" ht="14.25">
      <c r="A330" s="58" t="s">
        <v>344</v>
      </c>
      <c r="B330" s="133">
        <f aca="true" t="shared" si="60" ref="B330:B337">F330+G330</f>
        <v>25648331.8</v>
      </c>
      <c r="C330" s="80"/>
      <c r="D330" s="81"/>
      <c r="E330" s="81"/>
      <c r="F330" s="176">
        <f aca="true" t="shared" si="61" ref="F330:F337">H330+I330+J330+K330+L330+M330</f>
        <v>25648331.8</v>
      </c>
      <c r="G330" s="58"/>
      <c r="H330" s="58">
        <f>11305*2268.76</f>
        <v>25648331.8</v>
      </c>
      <c r="I330" s="79"/>
      <c r="J330" s="58"/>
      <c r="K330" s="58"/>
      <c r="L330" s="58"/>
      <c r="M330" s="121"/>
    </row>
    <row r="331" spans="1:13" s="135" customFormat="1" ht="14.25">
      <c r="A331" s="149" t="s">
        <v>345</v>
      </c>
      <c r="B331" s="79">
        <f t="shared" si="60"/>
        <v>8621288</v>
      </c>
      <c r="C331" s="147"/>
      <c r="D331" s="148"/>
      <c r="E331" s="148"/>
      <c r="F331" s="58">
        <f t="shared" si="61"/>
        <v>8621288</v>
      </c>
      <c r="G331" s="149"/>
      <c r="H331" s="149">
        <f>3800*2268.76</f>
        <v>8621288</v>
      </c>
      <c r="I331" s="150"/>
      <c r="J331" s="149"/>
      <c r="K331" s="149"/>
      <c r="L331" s="149"/>
      <c r="M331" s="149"/>
    </row>
    <row r="332" spans="1:13" s="135" customFormat="1" ht="14.25">
      <c r="A332" s="149" t="s">
        <v>346</v>
      </c>
      <c r="B332" s="79">
        <f t="shared" si="60"/>
        <v>5445024.000000001</v>
      </c>
      <c r="C332" s="147"/>
      <c r="D332" s="148"/>
      <c r="E332" s="148"/>
      <c r="F332" s="58">
        <f t="shared" si="61"/>
        <v>5445024.000000001</v>
      </c>
      <c r="G332" s="149"/>
      <c r="H332" s="149">
        <f>2400*2268.76</f>
        <v>5445024.000000001</v>
      </c>
      <c r="I332" s="150"/>
      <c r="J332" s="149"/>
      <c r="K332" s="149"/>
      <c r="L332" s="149"/>
      <c r="M332" s="149"/>
    </row>
    <row r="333" spans="1:13" s="135" customFormat="1" ht="14.25">
      <c r="A333" s="151" t="s">
        <v>357</v>
      </c>
      <c r="B333" s="79">
        <f t="shared" si="60"/>
        <v>18832800</v>
      </c>
      <c r="C333" s="147"/>
      <c r="D333" s="148"/>
      <c r="E333" s="148"/>
      <c r="F333" s="58">
        <f t="shared" si="61"/>
        <v>18832800</v>
      </c>
      <c r="G333" s="149"/>
      <c r="H333" s="149">
        <f>18832800</f>
        <v>18832800</v>
      </c>
      <c r="I333" s="150"/>
      <c r="J333" s="149"/>
      <c r="K333" s="149"/>
      <c r="L333" s="149"/>
      <c r="M333" s="149"/>
    </row>
    <row r="334" spans="1:13" s="135" customFormat="1" ht="14.25">
      <c r="A334" s="58" t="s">
        <v>358</v>
      </c>
      <c r="B334" s="79">
        <f t="shared" si="60"/>
        <v>16725000</v>
      </c>
      <c r="C334" s="80"/>
      <c r="D334" s="81"/>
      <c r="E334" s="81"/>
      <c r="F334" s="58">
        <f t="shared" si="61"/>
        <v>16725000</v>
      </c>
      <c r="G334" s="58"/>
      <c r="H334" s="58">
        <f>7500*2230</f>
        <v>16725000</v>
      </c>
      <c r="I334" s="79"/>
      <c r="J334" s="58"/>
      <c r="K334" s="58"/>
      <c r="L334" s="58"/>
      <c r="M334" s="58"/>
    </row>
    <row r="335" spans="1:13" s="135" customFormat="1" ht="14.25">
      <c r="A335" s="58" t="s">
        <v>359</v>
      </c>
      <c r="B335" s="79">
        <f t="shared" si="60"/>
        <v>14250000</v>
      </c>
      <c r="C335" s="80"/>
      <c r="D335" s="81"/>
      <c r="E335" s="81"/>
      <c r="F335" s="58">
        <f t="shared" si="61"/>
        <v>14250000</v>
      </c>
      <c r="G335" s="58"/>
      <c r="H335" s="58">
        <f>14250000</f>
        <v>14250000</v>
      </c>
      <c r="I335" s="79"/>
      <c r="J335" s="58"/>
      <c r="K335" s="58"/>
      <c r="L335" s="58"/>
      <c r="M335" s="58"/>
    </row>
    <row r="336" spans="1:13" s="135" customFormat="1" ht="14.25">
      <c r="A336" s="58" t="s">
        <v>326</v>
      </c>
      <c r="B336" s="79">
        <f t="shared" si="60"/>
        <v>4000000</v>
      </c>
      <c r="C336" s="80"/>
      <c r="D336" s="81"/>
      <c r="E336" s="81"/>
      <c r="F336" s="58">
        <f t="shared" si="61"/>
        <v>4000000</v>
      </c>
      <c r="G336" s="58"/>
      <c r="H336" s="58">
        <f>4000000</f>
        <v>4000000</v>
      </c>
      <c r="I336" s="79"/>
      <c r="J336" s="58"/>
      <c r="K336" s="58"/>
      <c r="L336" s="58"/>
      <c r="M336" s="58"/>
    </row>
    <row r="337" spans="1:13" s="135" customFormat="1" ht="14.25">
      <c r="A337" s="58" t="s">
        <v>360</v>
      </c>
      <c r="B337" s="79">
        <f t="shared" si="60"/>
        <v>4320000</v>
      </c>
      <c r="C337" s="80"/>
      <c r="D337" s="81"/>
      <c r="E337" s="81"/>
      <c r="F337" s="58">
        <f t="shared" si="61"/>
        <v>4320000</v>
      </c>
      <c r="G337" s="58"/>
      <c r="H337" s="58">
        <f>4320000</f>
        <v>4320000</v>
      </c>
      <c r="I337" s="79"/>
      <c r="J337" s="58"/>
      <c r="K337" s="58"/>
      <c r="L337" s="58"/>
      <c r="M337" s="58"/>
    </row>
    <row r="338" spans="1:13" s="179" customFormat="1" ht="15" customHeight="1">
      <c r="A338" s="58"/>
      <c r="B338" s="132">
        <f>SUM(B312:B337)</f>
        <v>366844046.624</v>
      </c>
      <c r="C338" s="80"/>
      <c r="D338" s="81"/>
      <c r="E338" s="81"/>
      <c r="F338" s="127">
        <f>SUM(H338:M338)</f>
        <v>0</v>
      </c>
      <c r="G338" s="58"/>
      <c r="H338" s="58"/>
      <c r="I338" s="79"/>
      <c r="J338" s="58"/>
      <c r="K338" s="58"/>
      <c r="L338" s="58"/>
      <c r="M338" s="121"/>
    </row>
    <row r="339" spans="1:13" s="179" customFormat="1" ht="15" customHeight="1">
      <c r="A339" s="58"/>
      <c r="B339" s="132"/>
      <c r="C339" s="80"/>
      <c r="D339" s="81"/>
      <c r="E339" s="81"/>
      <c r="F339" s="127"/>
      <c r="G339" s="58"/>
      <c r="H339" s="58"/>
      <c r="I339" s="79"/>
      <c r="J339" s="58"/>
      <c r="K339" s="58"/>
      <c r="L339" s="58"/>
      <c r="M339" s="121"/>
    </row>
    <row r="340" spans="1:59" ht="15" customHeight="1">
      <c r="A340" s="14" t="s">
        <v>361</v>
      </c>
      <c r="B340" s="79">
        <f>F340+G340</f>
        <v>0</v>
      </c>
      <c r="C340" s="80"/>
      <c r="D340" s="81"/>
      <c r="E340" s="81"/>
      <c r="F340" s="58">
        <f aca="true" t="shared" si="62" ref="F340:F345">SUM(H340:M340)</f>
        <v>0</v>
      </c>
      <c r="G340" s="58"/>
      <c r="H340" s="58"/>
      <c r="I340" s="79"/>
      <c r="J340" s="58"/>
      <c r="K340" s="58"/>
      <c r="L340" s="58"/>
      <c r="M340" s="5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</row>
    <row r="341" spans="1:59" ht="15" customHeight="1">
      <c r="A341" s="194"/>
      <c r="B341" s="79">
        <f>F341</f>
        <v>0</v>
      </c>
      <c r="C341" s="80"/>
      <c r="D341" s="81"/>
      <c r="E341" s="81"/>
      <c r="F341" s="58">
        <f t="shared" si="62"/>
        <v>0</v>
      </c>
      <c r="G341" s="58"/>
      <c r="H341" s="58"/>
      <c r="I341" s="79"/>
      <c r="J341" s="58"/>
      <c r="K341" s="58"/>
      <c r="L341" s="58"/>
      <c r="M341" s="5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</row>
    <row r="342" spans="1:13" s="179" customFormat="1" ht="15" customHeight="1">
      <c r="A342" s="58" t="s">
        <v>362</v>
      </c>
      <c r="B342" s="133">
        <f>F342</f>
        <v>175000</v>
      </c>
      <c r="C342" s="80"/>
      <c r="D342" s="81"/>
      <c r="E342" s="81"/>
      <c r="F342" s="176">
        <f t="shared" si="62"/>
        <v>175000</v>
      </c>
      <c r="G342" s="58"/>
      <c r="H342" s="58">
        <v>175000</v>
      </c>
      <c r="I342" s="79"/>
      <c r="J342" s="58"/>
      <c r="K342" s="58"/>
      <c r="L342" s="58"/>
      <c r="M342" s="121"/>
    </row>
    <row r="343" spans="1:13" s="179" customFormat="1" ht="15" customHeight="1">
      <c r="A343" s="58" t="s">
        <v>363</v>
      </c>
      <c r="B343" s="133">
        <f>F343</f>
        <v>93950000</v>
      </c>
      <c r="C343" s="80"/>
      <c r="D343" s="81"/>
      <c r="E343" s="81"/>
      <c r="F343" s="176">
        <f t="shared" si="62"/>
        <v>93950000</v>
      </c>
      <c r="G343" s="58"/>
      <c r="H343" s="58">
        <f>93950000</f>
        <v>93950000</v>
      </c>
      <c r="I343" s="79"/>
      <c r="J343" s="58"/>
      <c r="K343" s="58"/>
      <c r="L343" s="58"/>
      <c r="M343" s="121"/>
    </row>
    <row r="344" spans="1:59" ht="14.25" customHeight="1">
      <c r="A344" s="58" t="s">
        <v>364</v>
      </c>
      <c r="B344" s="79">
        <f>F344+G344</f>
        <v>8244003</v>
      </c>
      <c r="C344" s="80"/>
      <c r="D344" s="81"/>
      <c r="E344" s="81"/>
      <c r="F344" s="58">
        <f t="shared" si="62"/>
        <v>8244003</v>
      </c>
      <c r="G344" s="58"/>
      <c r="H344" s="58">
        <v>8244003</v>
      </c>
      <c r="I344" s="79"/>
      <c r="J344" s="58"/>
      <c r="K344" s="58"/>
      <c r="L344" s="58"/>
      <c r="M344" s="5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</row>
    <row r="345" spans="1:13" s="135" customFormat="1" ht="13.5" customHeight="1">
      <c r="A345" s="161" t="s">
        <v>365</v>
      </c>
      <c r="B345" s="166">
        <f>F345+G345</f>
        <v>2959607323.25</v>
      </c>
      <c r="C345" s="159"/>
      <c r="D345" s="160"/>
      <c r="E345" s="160"/>
      <c r="F345" s="58">
        <f t="shared" si="62"/>
        <v>2959607323.25</v>
      </c>
      <c r="G345" s="161"/>
      <c r="H345" s="161">
        <f>2959607323.25</f>
        <v>2959607323.25</v>
      </c>
      <c r="I345" s="166"/>
      <c r="J345" s="161"/>
      <c r="K345" s="161"/>
      <c r="L345" s="161"/>
      <c r="M345" s="161"/>
    </row>
    <row r="346" spans="1:13" s="135" customFormat="1" ht="13.5" customHeight="1">
      <c r="A346" s="187"/>
      <c r="B346" s="166"/>
      <c r="C346" s="159"/>
      <c r="D346" s="160"/>
      <c r="E346" s="160"/>
      <c r="F346" s="58"/>
      <c r="G346" s="161"/>
      <c r="H346" s="161"/>
      <c r="I346" s="166"/>
      <c r="J346" s="161"/>
      <c r="K346" s="161"/>
      <c r="L346" s="161"/>
      <c r="M346" s="161"/>
    </row>
    <row r="347" spans="1:13" s="135" customFormat="1" ht="13.5" customHeight="1">
      <c r="A347" s="187"/>
      <c r="B347" s="195">
        <f>SUM(B340:B346)</f>
        <v>3061976326.25</v>
      </c>
      <c r="C347" s="159"/>
      <c r="D347" s="160"/>
      <c r="E347" s="160"/>
      <c r="F347" s="58"/>
      <c r="G347" s="161"/>
      <c r="H347" s="161"/>
      <c r="I347" s="166"/>
      <c r="J347" s="161"/>
      <c r="K347" s="161"/>
      <c r="L347" s="161"/>
      <c r="M347" s="161"/>
    </row>
    <row r="348" spans="1:13" s="135" customFormat="1" ht="13.5" customHeight="1">
      <c r="A348" s="187"/>
      <c r="B348" s="166"/>
      <c r="C348" s="159"/>
      <c r="D348" s="160"/>
      <c r="E348" s="160"/>
      <c r="F348" s="58"/>
      <c r="G348" s="161"/>
      <c r="H348" s="161"/>
      <c r="I348" s="166"/>
      <c r="J348" s="161"/>
      <c r="K348" s="161"/>
      <c r="L348" s="161"/>
      <c r="M348" s="161"/>
    </row>
    <row r="349" spans="1:59" ht="15" customHeight="1">
      <c r="A349" s="144" t="s">
        <v>302</v>
      </c>
      <c r="B349" s="79">
        <f>F349+G349</f>
        <v>0</v>
      </c>
      <c r="C349" s="80"/>
      <c r="D349" s="81"/>
      <c r="E349" s="81"/>
      <c r="F349" s="58">
        <f>SUM(H349:M349)</f>
        <v>0</v>
      </c>
      <c r="G349" s="58"/>
      <c r="H349" s="58"/>
      <c r="I349" s="79"/>
      <c r="J349" s="58"/>
      <c r="K349" s="58"/>
      <c r="L349" s="58"/>
      <c r="M349" s="5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</row>
    <row r="350" spans="1:13" s="135" customFormat="1" ht="14.25">
      <c r="A350" s="58" t="s">
        <v>211</v>
      </c>
      <c r="B350" s="133"/>
      <c r="C350" s="80"/>
      <c r="D350" s="81"/>
      <c r="E350" s="81"/>
      <c r="F350" s="176">
        <f aca="true" t="shared" si="63" ref="F350:F357">SUM(H350:M350)</f>
        <v>0</v>
      </c>
      <c r="G350" s="58"/>
      <c r="H350" s="58">
        <v>0</v>
      </c>
      <c r="I350" s="79"/>
      <c r="J350" s="58"/>
      <c r="K350" s="58"/>
      <c r="L350" s="58"/>
      <c r="M350" s="121"/>
    </row>
    <row r="351" spans="1:13" s="135" customFormat="1" ht="14.25">
      <c r="A351" s="58" t="s">
        <v>335</v>
      </c>
      <c r="B351" s="133">
        <f>F351+G351</f>
        <v>5306262</v>
      </c>
      <c r="C351" s="80"/>
      <c r="D351" s="81"/>
      <c r="E351" s="81"/>
      <c r="F351" s="176">
        <f>H351+I351+J351+K351+L351+M351</f>
        <v>5306262</v>
      </c>
      <c r="G351" s="58"/>
      <c r="H351" s="58">
        <f>1521000+(845*2219.6)+845*2260</f>
        <v>5306262</v>
      </c>
      <c r="I351" s="79"/>
      <c r="J351" s="58"/>
      <c r="K351" s="58"/>
      <c r="L351" s="58"/>
      <c r="M351" s="121"/>
    </row>
    <row r="352" spans="1:13" s="135" customFormat="1" ht="14.25">
      <c r="A352" s="58" t="s">
        <v>210</v>
      </c>
      <c r="B352" s="133">
        <v>0</v>
      </c>
      <c r="C352" s="80"/>
      <c r="D352" s="81"/>
      <c r="E352" s="81"/>
      <c r="F352" s="176">
        <f t="shared" si="63"/>
        <v>0</v>
      </c>
      <c r="G352" s="58"/>
      <c r="H352" s="58">
        <v>0</v>
      </c>
      <c r="I352" s="79"/>
      <c r="J352" s="58"/>
      <c r="K352" s="58"/>
      <c r="L352" s="58"/>
      <c r="M352" s="121"/>
    </row>
    <row r="353" spans="1:13" s="135" customFormat="1" ht="14.25">
      <c r="A353" s="58" t="s">
        <v>303</v>
      </c>
      <c r="B353" s="79">
        <v>300000</v>
      </c>
      <c r="C353" s="80"/>
      <c r="D353" s="81"/>
      <c r="E353" s="81"/>
      <c r="F353" s="58">
        <f t="shared" si="63"/>
        <v>300000</v>
      </c>
      <c r="G353" s="58"/>
      <c r="H353" s="58">
        <v>300000</v>
      </c>
      <c r="I353" s="58"/>
      <c r="J353" s="58"/>
      <c r="K353" s="58"/>
      <c r="L353" s="58"/>
      <c r="M353" s="58"/>
    </row>
    <row r="354" spans="1:13" s="135" customFormat="1" ht="14.25">
      <c r="A354" s="58" t="s">
        <v>336</v>
      </c>
      <c r="B354" s="133">
        <f>G354+F354</f>
        <v>10000000</v>
      </c>
      <c r="C354" s="80"/>
      <c r="D354" s="81"/>
      <c r="E354" s="81"/>
      <c r="F354" s="176">
        <f t="shared" si="63"/>
        <v>10000000</v>
      </c>
      <c r="G354" s="58"/>
      <c r="H354" s="58">
        <f>10000000</f>
        <v>10000000</v>
      </c>
      <c r="I354" s="79"/>
      <c r="J354" s="58"/>
      <c r="K354" s="58"/>
      <c r="L354" s="58"/>
      <c r="M354" s="121"/>
    </row>
    <row r="355" spans="1:13" s="135" customFormat="1" ht="14.25">
      <c r="A355" s="58" t="s">
        <v>337</v>
      </c>
      <c r="B355" s="133">
        <f>G355+F355</f>
        <v>172370000</v>
      </c>
      <c r="C355" s="80"/>
      <c r="D355" s="81"/>
      <c r="E355" s="81"/>
      <c r="F355" s="176">
        <f t="shared" si="63"/>
        <v>172370000</v>
      </c>
      <c r="G355" s="58"/>
      <c r="H355" s="58">
        <f>172370000</f>
        <v>172370000</v>
      </c>
      <c r="I355" s="79"/>
      <c r="J355" s="58"/>
      <c r="K355" s="58"/>
      <c r="L355" s="58"/>
      <c r="M355" s="121"/>
    </row>
    <row r="356" spans="1:13" s="135" customFormat="1" ht="14.25">
      <c r="A356" s="58" t="s">
        <v>339</v>
      </c>
      <c r="B356" s="133">
        <f>G356+F356</f>
        <v>116530780.5</v>
      </c>
      <c r="C356" s="80"/>
      <c r="D356" s="81"/>
      <c r="E356" s="81"/>
      <c r="F356" s="176">
        <f t="shared" si="63"/>
        <v>116530780.5</v>
      </c>
      <c r="G356" s="58"/>
      <c r="H356" s="58">
        <f>52655*2213.1</f>
        <v>116530780.5</v>
      </c>
      <c r="I356" s="79"/>
      <c r="J356" s="58"/>
      <c r="K356" s="58"/>
      <c r="L356" s="58"/>
      <c r="M356" s="121"/>
    </row>
    <row r="357" spans="1:13" s="135" customFormat="1" ht="14.25">
      <c r="A357" s="58" t="s">
        <v>386</v>
      </c>
      <c r="B357" s="133">
        <f>G357+F357</f>
        <v>59000000</v>
      </c>
      <c r="C357" s="80"/>
      <c r="D357" s="81"/>
      <c r="E357" s="81"/>
      <c r="F357" s="176">
        <f t="shared" si="63"/>
        <v>59000000</v>
      </c>
      <c r="G357" s="58"/>
      <c r="H357" s="58">
        <f>59000000</f>
        <v>59000000</v>
      </c>
      <c r="I357" s="79"/>
      <c r="J357" s="58"/>
      <c r="K357" s="58"/>
      <c r="L357" s="58"/>
      <c r="M357" s="121"/>
    </row>
    <row r="358" spans="1:13" s="179" customFormat="1" ht="15" customHeight="1">
      <c r="A358" s="58"/>
      <c r="B358" s="132">
        <f>SUM(B349:B357)</f>
        <v>363507042.5</v>
      </c>
      <c r="C358" s="80"/>
      <c r="D358" s="81"/>
      <c r="E358" s="81"/>
      <c r="F358" s="127"/>
      <c r="G358" s="58"/>
      <c r="H358" s="58"/>
      <c r="I358" s="79"/>
      <c r="J358" s="58"/>
      <c r="K358" s="58"/>
      <c r="L358" s="58"/>
      <c r="M358" s="121"/>
    </row>
    <row r="359" spans="1:13" s="179" customFormat="1" ht="15" customHeight="1">
      <c r="A359" s="58"/>
      <c r="B359" s="132"/>
      <c r="C359" s="80"/>
      <c r="D359" s="81"/>
      <c r="E359" s="81"/>
      <c r="F359" s="127"/>
      <c r="G359" s="58"/>
      <c r="H359" s="58"/>
      <c r="I359" s="79"/>
      <c r="J359" s="58"/>
      <c r="K359" s="58"/>
      <c r="L359" s="58"/>
      <c r="M359" s="121"/>
    </row>
    <row r="360" spans="1:13" s="179" customFormat="1" ht="15">
      <c r="A360" s="144" t="s">
        <v>212</v>
      </c>
      <c r="B360" s="133">
        <f>F360+G360</f>
        <v>0</v>
      </c>
      <c r="C360" s="80"/>
      <c r="D360" s="81"/>
      <c r="E360" s="81"/>
      <c r="F360" s="127">
        <f aca="true" t="shared" si="64" ref="F360:F365">SUM(H360:M360)</f>
        <v>0</v>
      </c>
      <c r="G360" s="58"/>
      <c r="H360" s="58"/>
      <c r="I360" s="79"/>
      <c r="J360" s="58"/>
      <c r="K360" s="58"/>
      <c r="L360" s="58"/>
      <c r="M360" s="121"/>
    </row>
    <row r="361" spans="1:59" ht="14.25">
      <c r="A361" s="58" t="s">
        <v>144</v>
      </c>
      <c r="B361" s="79">
        <f>F361+G361</f>
        <v>4055768.3499999996</v>
      </c>
      <c r="C361" s="80"/>
      <c r="D361" s="81"/>
      <c r="E361" s="81"/>
      <c r="F361" s="22">
        <f t="shared" si="64"/>
        <v>4055768.3499999996</v>
      </c>
      <c r="G361" s="58"/>
      <c r="H361" s="58">
        <f>109643.6+368181.35+83640.5+287225.8+839538.65+473848.75+487951.15+1405738.55</f>
        <v>4055768.3499999996</v>
      </c>
      <c r="I361" s="58">
        <v>0</v>
      </c>
      <c r="J361" s="58">
        <v>0</v>
      </c>
      <c r="K361" s="58"/>
      <c r="L361" s="58"/>
      <c r="M361" s="5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</row>
    <row r="362" spans="1:59" ht="14.25">
      <c r="A362" s="58" t="s">
        <v>347</v>
      </c>
      <c r="B362" s="79">
        <f>F362+G362</f>
        <v>50332006.25</v>
      </c>
      <c r="C362" s="80"/>
      <c r="D362" s="81"/>
      <c r="E362" s="81"/>
      <c r="F362" s="22">
        <f t="shared" si="64"/>
        <v>50332006.25</v>
      </c>
      <c r="G362" s="58"/>
      <c r="H362" s="58">
        <f>50332006.25</f>
        <v>50332006.25</v>
      </c>
      <c r="I362" s="58">
        <v>0</v>
      </c>
      <c r="J362" s="58">
        <v>0</v>
      </c>
      <c r="K362" s="58"/>
      <c r="L362" s="58"/>
      <c r="M362" s="5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</row>
    <row r="363" spans="1:13" s="179" customFormat="1" ht="15">
      <c r="A363" s="58"/>
      <c r="B363" s="132">
        <f>SUM(B360:B362)</f>
        <v>54387774.6</v>
      </c>
      <c r="C363" s="80"/>
      <c r="D363" s="81"/>
      <c r="E363" s="81"/>
      <c r="F363" s="127">
        <f t="shared" si="64"/>
        <v>0</v>
      </c>
      <c r="G363" s="58"/>
      <c r="H363" s="58"/>
      <c r="I363" s="79"/>
      <c r="J363" s="58"/>
      <c r="K363" s="58"/>
      <c r="L363" s="58"/>
      <c r="M363" s="121"/>
    </row>
    <row r="364" spans="1:13" s="179" customFormat="1" ht="14.25">
      <c r="A364" s="58"/>
      <c r="B364" s="133"/>
      <c r="C364" s="80"/>
      <c r="D364" s="81"/>
      <c r="E364" s="81"/>
      <c r="F364" s="127">
        <f t="shared" si="64"/>
        <v>0</v>
      </c>
      <c r="G364" s="58"/>
      <c r="H364" s="58"/>
      <c r="I364" s="79"/>
      <c r="J364" s="58"/>
      <c r="K364" s="58"/>
      <c r="L364" s="58"/>
      <c r="M364" s="121"/>
    </row>
    <row r="365" spans="1:13" s="179" customFormat="1" ht="15">
      <c r="A365" s="144" t="s">
        <v>233</v>
      </c>
      <c r="B365" s="133"/>
      <c r="C365" s="80"/>
      <c r="D365" s="81"/>
      <c r="E365" s="81"/>
      <c r="F365" s="127">
        <f t="shared" si="64"/>
        <v>0</v>
      </c>
      <c r="G365" s="58"/>
      <c r="H365" s="58"/>
      <c r="I365" s="79"/>
      <c r="J365" s="58"/>
      <c r="K365" s="58"/>
      <c r="L365" s="58"/>
      <c r="M365" s="121"/>
    </row>
    <row r="366" spans="1:13" s="135" customFormat="1" ht="13.5" customHeight="1">
      <c r="A366" s="149" t="s">
        <v>248</v>
      </c>
      <c r="B366" s="166">
        <f>F366</f>
        <v>75623374.22</v>
      </c>
      <c r="C366" s="147"/>
      <c r="D366" s="148"/>
      <c r="E366" s="148"/>
      <c r="F366" s="58">
        <f>SUM(H366:M366)</f>
        <v>75623374.22</v>
      </c>
      <c r="G366" s="149"/>
      <c r="H366" s="149">
        <f>2614461+9437976.3+14253273.1+10771571+5862004+16190064.16+8118993.54+5423562.02+2951469.1</f>
        <v>75623374.22</v>
      </c>
      <c r="I366" s="150"/>
      <c r="J366" s="149"/>
      <c r="K366" s="149"/>
      <c r="L366" s="149"/>
      <c r="M366" s="149"/>
    </row>
    <row r="367" spans="1:13" s="191" customFormat="1" ht="14.25">
      <c r="A367" s="161" t="s">
        <v>249</v>
      </c>
      <c r="B367" s="166">
        <f>F367</f>
        <v>0</v>
      </c>
      <c r="C367" s="159"/>
      <c r="D367" s="160"/>
      <c r="E367" s="160"/>
      <c r="F367" s="22">
        <f>SUM(H367:M367)</f>
        <v>0</v>
      </c>
      <c r="G367" s="161"/>
      <c r="H367" s="161">
        <f>10888404.74-10888404.74</f>
        <v>0</v>
      </c>
      <c r="I367" s="166"/>
      <c r="J367" s="161"/>
      <c r="K367" s="161"/>
      <c r="L367" s="161"/>
      <c r="M367" s="161"/>
    </row>
    <row r="368" spans="1:13" s="191" customFormat="1" ht="14.25">
      <c r="A368" s="161" t="s">
        <v>279</v>
      </c>
      <c r="B368" s="166">
        <f>F368</f>
        <v>0</v>
      </c>
      <c r="C368" s="159"/>
      <c r="D368" s="160"/>
      <c r="E368" s="160"/>
      <c r="F368" s="22"/>
      <c r="G368" s="161"/>
      <c r="H368" s="161">
        <f>15484028.61-15484028.61</f>
        <v>0</v>
      </c>
      <c r="I368" s="166"/>
      <c r="J368" s="161"/>
      <c r="K368" s="161"/>
      <c r="L368" s="161"/>
      <c r="M368" s="161"/>
    </row>
    <row r="369" spans="1:13" s="191" customFormat="1" ht="14.25">
      <c r="A369" s="161" t="s">
        <v>284</v>
      </c>
      <c r="B369" s="166">
        <f>F369</f>
        <v>0</v>
      </c>
      <c r="C369" s="159"/>
      <c r="D369" s="160"/>
      <c r="E369" s="160"/>
      <c r="F369" s="22">
        <f>SUM(H369:M369)</f>
        <v>0</v>
      </c>
      <c r="G369" s="161"/>
      <c r="H369" s="161"/>
      <c r="I369" s="166"/>
      <c r="J369" s="161"/>
      <c r="K369" s="161"/>
      <c r="L369" s="161"/>
      <c r="M369" s="161"/>
    </row>
    <row r="370" spans="1:13" s="179" customFormat="1" ht="15">
      <c r="A370" s="58"/>
      <c r="B370" s="132">
        <f>SUM(B366:B369)</f>
        <v>75623374.22</v>
      </c>
      <c r="C370" s="80"/>
      <c r="D370" s="81"/>
      <c r="E370" s="81"/>
      <c r="F370" s="127"/>
      <c r="G370" s="58"/>
      <c r="H370" s="58"/>
      <c r="I370" s="79"/>
      <c r="J370" s="58"/>
      <c r="K370" s="58"/>
      <c r="L370" s="58"/>
      <c r="M370" s="121"/>
    </row>
    <row r="371" spans="1:13" s="179" customFormat="1" ht="15">
      <c r="A371" s="144" t="s">
        <v>213</v>
      </c>
      <c r="B371" s="133"/>
      <c r="C371" s="80"/>
      <c r="D371" s="81"/>
      <c r="E371" s="81"/>
      <c r="F371" s="127"/>
      <c r="G371" s="58"/>
      <c r="H371" s="58"/>
      <c r="I371" s="79"/>
      <c r="J371" s="58"/>
      <c r="K371" s="58"/>
      <c r="L371" s="58"/>
      <c r="M371" s="121"/>
    </row>
    <row r="372" spans="1:13" s="135" customFormat="1" ht="14.25">
      <c r="A372" s="187" t="s">
        <v>214</v>
      </c>
      <c r="B372" s="166">
        <f>G372+F372</f>
        <v>11025350</v>
      </c>
      <c r="C372" s="159"/>
      <c r="D372" s="160"/>
      <c r="E372" s="160"/>
      <c r="F372" s="58">
        <f>H372+I372+J372+K372+L372+M372</f>
        <v>11025350</v>
      </c>
      <c r="G372" s="161"/>
      <c r="H372" s="166">
        <f>11025350</f>
        <v>11025350</v>
      </c>
      <c r="I372" s="166"/>
      <c r="J372" s="161"/>
      <c r="K372" s="161"/>
      <c r="L372" s="161"/>
      <c r="M372" s="161"/>
    </row>
    <row r="373" spans="1:13" s="135" customFormat="1" ht="14.25">
      <c r="A373" s="187" t="s">
        <v>225</v>
      </c>
      <c r="B373" s="166">
        <f>G373+F373</f>
        <v>31874500</v>
      </c>
      <c r="C373" s="159"/>
      <c r="D373" s="160"/>
      <c r="E373" s="160"/>
      <c r="F373" s="58">
        <f>H373+I373+J373+L373+M373</f>
        <v>31874500</v>
      </c>
      <c r="G373" s="161"/>
      <c r="H373" s="166">
        <f>10558500+10887500+10428500</f>
        <v>31874500</v>
      </c>
      <c r="I373" s="166"/>
      <c r="J373" s="161"/>
      <c r="K373" s="161"/>
      <c r="L373" s="161"/>
      <c r="M373" s="161"/>
    </row>
    <row r="374" spans="1:13" s="135" customFormat="1" ht="14.25">
      <c r="A374" s="187" t="s">
        <v>244</v>
      </c>
      <c r="B374" s="166">
        <f aca="true" t="shared" si="65" ref="B374:B396">F374</f>
        <v>21101650</v>
      </c>
      <c r="C374" s="159"/>
      <c r="D374" s="160"/>
      <c r="E374" s="160"/>
      <c r="F374" s="58">
        <f aca="true" t="shared" si="66" ref="F374:F397">SUM(H374:M374)</f>
        <v>21101650</v>
      </c>
      <c r="G374" s="161"/>
      <c r="H374" s="161">
        <f>7542500+4249500+5725650+3584000</f>
        <v>21101650</v>
      </c>
      <c r="I374" s="166"/>
      <c r="J374" s="161"/>
      <c r="K374" s="161"/>
      <c r="L374" s="161"/>
      <c r="M374" s="161"/>
    </row>
    <row r="375" spans="1:13" s="135" customFormat="1" ht="14.25">
      <c r="A375" s="187" t="s">
        <v>245</v>
      </c>
      <c r="B375" s="166">
        <f t="shared" si="65"/>
        <v>78087429</v>
      </c>
      <c r="C375" s="159"/>
      <c r="D375" s="160"/>
      <c r="E375" s="160"/>
      <c r="F375" s="58">
        <f t="shared" si="66"/>
        <v>78087429</v>
      </c>
      <c r="G375" s="161"/>
      <c r="H375" s="161">
        <f>37533239+40554190</f>
        <v>78087429</v>
      </c>
      <c r="I375" s="166"/>
      <c r="J375" s="161"/>
      <c r="K375" s="161"/>
      <c r="L375" s="161"/>
      <c r="M375" s="161"/>
    </row>
    <row r="376" spans="1:13" s="135" customFormat="1" ht="14.25">
      <c r="A376" s="187" t="s">
        <v>226</v>
      </c>
      <c r="B376" s="166">
        <f t="shared" si="65"/>
        <v>7640700</v>
      </c>
      <c r="C376" s="159"/>
      <c r="D376" s="160"/>
      <c r="E376" s="160"/>
      <c r="F376" s="58">
        <f t="shared" si="66"/>
        <v>7640700</v>
      </c>
      <c r="G376" s="161"/>
      <c r="H376" s="161">
        <f>7640700</f>
        <v>7640700</v>
      </c>
      <c r="I376" s="166"/>
      <c r="J376" s="161"/>
      <c r="K376" s="161"/>
      <c r="L376" s="161"/>
      <c r="M376" s="161"/>
    </row>
    <row r="377" spans="1:13" s="135" customFormat="1" ht="14.25">
      <c r="A377" s="187" t="s">
        <v>246</v>
      </c>
      <c r="B377" s="166">
        <f>G377+F377</f>
        <v>18964950</v>
      </c>
      <c r="C377" s="159"/>
      <c r="D377" s="160"/>
      <c r="E377" s="160"/>
      <c r="F377" s="58">
        <f>H377+I377+J377+K377+L377+M377</f>
        <v>18964950</v>
      </c>
      <c r="G377" s="161"/>
      <c r="H377" s="161">
        <f>18964950</f>
        <v>18964950</v>
      </c>
      <c r="I377" s="166"/>
      <c r="J377" s="161"/>
      <c r="K377" s="161"/>
      <c r="L377" s="161"/>
      <c r="M377" s="161"/>
    </row>
    <row r="378" spans="1:13" s="135" customFormat="1" ht="14.25">
      <c r="A378" s="187" t="s">
        <v>256</v>
      </c>
      <c r="B378" s="166">
        <f t="shared" si="65"/>
        <v>102336229.68</v>
      </c>
      <c r="C378" s="159"/>
      <c r="D378" s="160"/>
      <c r="E378" s="160"/>
      <c r="F378" s="58">
        <f t="shared" si="66"/>
        <v>102336229.68</v>
      </c>
      <c r="G378" s="161"/>
      <c r="H378" s="161">
        <f>69290890.73+33045338.95</f>
        <v>102336229.68</v>
      </c>
      <c r="I378" s="166"/>
      <c r="J378" s="161"/>
      <c r="K378" s="161"/>
      <c r="L378" s="161"/>
      <c r="M378" s="161"/>
    </row>
    <row r="379" spans="1:13" s="135" customFormat="1" ht="14.25">
      <c r="A379" s="187" t="s">
        <v>247</v>
      </c>
      <c r="B379" s="166">
        <f t="shared" si="65"/>
        <v>21560034</v>
      </c>
      <c r="C379" s="159"/>
      <c r="D379" s="160"/>
      <c r="E379" s="160"/>
      <c r="F379" s="58">
        <f t="shared" si="66"/>
        <v>21560034</v>
      </c>
      <c r="G379" s="161"/>
      <c r="H379" s="161">
        <f>8019308+2578328+10962398</f>
        <v>21560034</v>
      </c>
      <c r="I379" s="166"/>
      <c r="J379" s="161"/>
      <c r="K379" s="161"/>
      <c r="L379" s="161"/>
      <c r="M379" s="161"/>
    </row>
    <row r="380" spans="1:13" s="135" customFormat="1" ht="14.25">
      <c r="A380" s="187" t="s">
        <v>285</v>
      </c>
      <c r="B380" s="166">
        <f t="shared" si="65"/>
        <v>5943850</v>
      </c>
      <c r="C380" s="159"/>
      <c r="D380" s="160"/>
      <c r="E380" s="160"/>
      <c r="F380" s="58">
        <f t="shared" si="66"/>
        <v>5943850</v>
      </c>
      <c r="G380" s="161"/>
      <c r="H380" s="161">
        <f>5943850</f>
        <v>5943850</v>
      </c>
      <c r="I380" s="166"/>
      <c r="J380" s="161"/>
      <c r="K380" s="161"/>
      <c r="L380" s="161"/>
      <c r="M380" s="161"/>
    </row>
    <row r="381" spans="1:13" s="135" customFormat="1" ht="14.25">
      <c r="A381" s="187" t="s">
        <v>257</v>
      </c>
      <c r="B381" s="166">
        <f t="shared" si="65"/>
        <v>6167000</v>
      </c>
      <c r="C381" s="159"/>
      <c r="D381" s="160"/>
      <c r="E381" s="160"/>
      <c r="F381" s="58">
        <f t="shared" si="66"/>
        <v>6167000</v>
      </c>
      <c r="G381" s="161"/>
      <c r="H381" s="161">
        <f>2750000+3417000</f>
        <v>6167000</v>
      </c>
      <c r="I381" s="166"/>
      <c r="J381" s="161"/>
      <c r="K381" s="161"/>
      <c r="L381" s="161"/>
      <c r="M381" s="161"/>
    </row>
    <row r="382" spans="1:13" s="135" customFormat="1" ht="14.25">
      <c r="A382" s="187" t="s">
        <v>258</v>
      </c>
      <c r="B382" s="166">
        <f t="shared" si="65"/>
        <v>964000</v>
      </c>
      <c r="C382" s="159"/>
      <c r="D382" s="160"/>
      <c r="E382" s="160"/>
      <c r="F382" s="58">
        <f t="shared" si="66"/>
        <v>964000</v>
      </c>
      <c r="G382" s="161"/>
      <c r="H382" s="161">
        <f>964000</f>
        <v>964000</v>
      </c>
      <c r="I382" s="166"/>
      <c r="J382" s="161"/>
      <c r="K382" s="161"/>
      <c r="L382" s="161"/>
      <c r="M382" s="161"/>
    </row>
    <row r="383" spans="1:13" s="135" customFormat="1" ht="14.25">
      <c r="A383" s="187" t="s">
        <v>259</v>
      </c>
      <c r="B383" s="166">
        <f t="shared" si="65"/>
        <v>131615370</v>
      </c>
      <c r="C383" s="159"/>
      <c r="D383" s="160"/>
      <c r="E383" s="160"/>
      <c r="F383" s="58">
        <f t="shared" si="66"/>
        <v>131615370</v>
      </c>
      <c r="G383" s="161"/>
      <c r="H383" s="161">
        <f>65104950+66510420</f>
        <v>131615370</v>
      </c>
      <c r="I383" s="161"/>
      <c r="J383" s="161"/>
      <c r="K383" s="161"/>
      <c r="L383" s="161"/>
      <c r="M383" s="161"/>
    </row>
    <row r="384" spans="1:13" s="135" customFormat="1" ht="14.25">
      <c r="A384" s="187" t="s">
        <v>260</v>
      </c>
      <c r="B384" s="166">
        <f t="shared" si="65"/>
        <v>25230250</v>
      </c>
      <c r="C384" s="159"/>
      <c r="D384" s="160"/>
      <c r="E384" s="160"/>
      <c r="F384" s="58">
        <f t="shared" si="66"/>
        <v>25230250</v>
      </c>
      <c r="G384" s="161"/>
      <c r="H384" s="161">
        <f>12622050+12608200</f>
        <v>25230250</v>
      </c>
      <c r="I384" s="166"/>
      <c r="J384" s="161"/>
      <c r="K384" s="161"/>
      <c r="L384" s="161"/>
      <c r="M384" s="161"/>
    </row>
    <row r="385" spans="1:13" s="135" customFormat="1" ht="14.25">
      <c r="A385" s="187" t="s">
        <v>261</v>
      </c>
      <c r="B385" s="166">
        <f t="shared" si="65"/>
        <v>70499563</v>
      </c>
      <c r="C385" s="159"/>
      <c r="D385" s="160"/>
      <c r="E385" s="160"/>
      <c r="F385" s="58">
        <f t="shared" si="66"/>
        <v>70499563</v>
      </c>
      <c r="G385" s="161"/>
      <c r="H385" s="161">
        <f>36008091+34491472</f>
        <v>70499563</v>
      </c>
      <c r="I385" s="166"/>
      <c r="J385" s="161"/>
      <c r="K385" s="161"/>
      <c r="L385" s="161"/>
      <c r="M385" s="161"/>
    </row>
    <row r="386" spans="1:13" s="135" customFormat="1" ht="14.25">
      <c r="A386" s="187" t="s">
        <v>286</v>
      </c>
      <c r="B386" s="166">
        <f t="shared" si="65"/>
        <v>7996710</v>
      </c>
      <c r="C386" s="159"/>
      <c r="D386" s="160"/>
      <c r="E386" s="160"/>
      <c r="F386" s="58">
        <f t="shared" si="66"/>
        <v>7996710</v>
      </c>
      <c r="G386" s="161"/>
      <c r="H386" s="161">
        <f>7996710</f>
        <v>7996710</v>
      </c>
      <c r="I386" s="166"/>
      <c r="J386" s="161"/>
      <c r="K386" s="161"/>
      <c r="L386" s="161"/>
      <c r="M386" s="161"/>
    </row>
    <row r="387" spans="1:13" s="135" customFormat="1" ht="14.25">
      <c r="A387" s="187" t="s">
        <v>276</v>
      </c>
      <c r="B387" s="166">
        <f t="shared" si="65"/>
        <v>97174635.47999999</v>
      </c>
      <c r="C387" s="159"/>
      <c r="D387" s="160"/>
      <c r="E387" s="160"/>
      <c r="F387" s="58">
        <f t="shared" si="66"/>
        <v>97174635.47999999</v>
      </c>
      <c r="G387" s="161"/>
      <c r="H387" s="161">
        <f>28296776.95+38187086.4+30690772.13</f>
        <v>97174635.47999999</v>
      </c>
      <c r="I387" s="166"/>
      <c r="J387" s="161"/>
      <c r="K387" s="161"/>
      <c r="L387" s="161"/>
      <c r="M387" s="161"/>
    </row>
    <row r="388" spans="1:13" s="135" customFormat="1" ht="14.25">
      <c r="A388" s="187" t="s">
        <v>277</v>
      </c>
      <c r="B388" s="166">
        <f>F388+G388</f>
        <v>4961000</v>
      </c>
      <c r="C388" s="159"/>
      <c r="D388" s="160"/>
      <c r="E388" s="160"/>
      <c r="F388" s="58">
        <f>H388+I388+J388+K388+L388+M388</f>
        <v>4961000</v>
      </c>
      <c r="G388" s="161"/>
      <c r="H388" s="161">
        <f>4961000</f>
        <v>4961000</v>
      </c>
      <c r="I388" s="166"/>
      <c r="J388" s="161"/>
      <c r="K388" s="161"/>
      <c r="L388" s="161"/>
      <c r="M388" s="161"/>
    </row>
    <row r="389" spans="1:13" s="135" customFormat="1" ht="14.25">
      <c r="A389" s="187" t="s">
        <v>287</v>
      </c>
      <c r="B389" s="166">
        <f t="shared" si="65"/>
        <v>67340200</v>
      </c>
      <c r="C389" s="159"/>
      <c r="D389" s="160"/>
      <c r="E389" s="160"/>
      <c r="F389" s="58">
        <f t="shared" si="66"/>
        <v>67340200</v>
      </c>
      <c r="G389" s="161"/>
      <c r="H389" s="161">
        <f>34638900+32701300</f>
        <v>67340200</v>
      </c>
      <c r="I389" s="166"/>
      <c r="J389" s="161"/>
      <c r="K389" s="161"/>
      <c r="L389" s="161"/>
      <c r="M389" s="161"/>
    </row>
    <row r="390" spans="1:13" s="135" customFormat="1" ht="14.25">
      <c r="A390" s="187" t="s">
        <v>278</v>
      </c>
      <c r="B390" s="166">
        <f t="shared" si="65"/>
        <v>65000050</v>
      </c>
      <c r="C390" s="159"/>
      <c r="D390" s="160"/>
      <c r="E390" s="160"/>
      <c r="F390" s="58">
        <f t="shared" si="66"/>
        <v>65000050</v>
      </c>
      <c r="G390" s="161"/>
      <c r="H390" s="161">
        <f>33197450+31802600</f>
        <v>65000050</v>
      </c>
      <c r="I390" s="166"/>
      <c r="J390" s="161"/>
      <c r="K390" s="161"/>
      <c r="L390" s="161"/>
      <c r="M390" s="161"/>
    </row>
    <row r="391" spans="1:13" s="135" customFormat="1" ht="14.25">
      <c r="A391" s="187" t="s">
        <v>288</v>
      </c>
      <c r="B391" s="166">
        <f t="shared" si="65"/>
        <v>17369553</v>
      </c>
      <c r="C391" s="159"/>
      <c r="D391" s="160"/>
      <c r="E391" s="160"/>
      <c r="F391" s="58">
        <f t="shared" si="66"/>
        <v>17369553</v>
      </c>
      <c r="G391" s="161"/>
      <c r="H391" s="161">
        <f>6629660+5876138+4863755</f>
        <v>17369553</v>
      </c>
      <c r="I391" s="166"/>
      <c r="J391" s="161"/>
      <c r="K391" s="161"/>
      <c r="L391" s="161"/>
      <c r="M391" s="161"/>
    </row>
    <row r="392" spans="1:13" s="135" customFormat="1" ht="14.25">
      <c r="A392" s="187" t="s">
        <v>294</v>
      </c>
      <c r="B392" s="166">
        <f t="shared" si="65"/>
        <v>621000</v>
      </c>
      <c r="C392" s="159"/>
      <c r="D392" s="160"/>
      <c r="E392" s="160"/>
      <c r="F392" s="58">
        <f t="shared" si="66"/>
        <v>621000</v>
      </c>
      <c r="G392" s="161"/>
      <c r="H392" s="161">
        <f>341000+280000</f>
        <v>621000</v>
      </c>
      <c r="I392" s="166"/>
      <c r="J392" s="161"/>
      <c r="K392" s="161"/>
      <c r="L392" s="161"/>
      <c r="M392" s="161"/>
    </row>
    <row r="393" spans="1:13" s="135" customFormat="1" ht="14.25">
      <c r="A393" s="58" t="s">
        <v>309</v>
      </c>
      <c r="B393" s="166">
        <f t="shared" si="65"/>
        <v>833000</v>
      </c>
      <c r="C393" s="80"/>
      <c r="D393" s="81"/>
      <c r="E393" s="81"/>
      <c r="F393" s="58">
        <f t="shared" si="66"/>
        <v>833000</v>
      </c>
      <c r="G393" s="58"/>
      <c r="H393" s="58">
        <f>833000</f>
        <v>833000</v>
      </c>
      <c r="I393" s="79"/>
      <c r="J393" s="58"/>
      <c r="K393" s="58"/>
      <c r="L393" s="58"/>
      <c r="M393" s="121"/>
    </row>
    <row r="394" spans="1:13" s="135" customFormat="1" ht="14.25">
      <c r="A394" s="58" t="s">
        <v>333</v>
      </c>
      <c r="B394" s="166">
        <f t="shared" si="65"/>
        <v>11098700</v>
      </c>
      <c r="C394" s="80"/>
      <c r="D394" s="81"/>
      <c r="E394" s="81"/>
      <c r="F394" s="58">
        <f t="shared" si="66"/>
        <v>11098700</v>
      </c>
      <c r="G394" s="58"/>
      <c r="H394" s="58">
        <v>11098700</v>
      </c>
      <c r="I394" s="79"/>
      <c r="J394" s="58"/>
      <c r="K394" s="58"/>
      <c r="L394" s="58"/>
      <c r="M394" s="121"/>
    </row>
    <row r="395" spans="1:13" s="135" customFormat="1" ht="14.25">
      <c r="A395" s="58" t="s">
        <v>348</v>
      </c>
      <c r="B395" s="166">
        <f t="shared" si="65"/>
        <v>2533861.2</v>
      </c>
      <c r="C395" s="80"/>
      <c r="D395" s="81"/>
      <c r="E395" s="81"/>
      <c r="F395" s="58">
        <f t="shared" si="66"/>
        <v>2533861.2</v>
      </c>
      <c r="G395" s="58"/>
      <c r="H395" s="58">
        <v>2533861.2</v>
      </c>
      <c r="I395" s="79"/>
      <c r="J395" s="58"/>
      <c r="K395" s="58"/>
      <c r="L395" s="58"/>
      <c r="M395" s="121"/>
    </row>
    <row r="396" spans="1:13" s="135" customFormat="1" ht="14.25">
      <c r="A396" s="198" t="s">
        <v>409</v>
      </c>
      <c r="B396" s="166">
        <f t="shared" si="65"/>
        <v>350000</v>
      </c>
      <c r="C396" s="80"/>
      <c r="D396" s="81"/>
      <c r="E396" s="81"/>
      <c r="F396" s="58">
        <f t="shared" si="66"/>
        <v>350000</v>
      </c>
      <c r="G396" s="58"/>
      <c r="H396" s="58">
        <f>350000</f>
        <v>350000</v>
      </c>
      <c r="I396" s="79"/>
      <c r="J396" s="58"/>
      <c r="K396" s="58"/>
      <c r="L396" s="58"/>
      <c r="M396" s="121"/>
    </row>
    <row r="397" spans="1:13" s="135" customFormat="1" ht="14.25">
      <c r="A397" s="58" t="s">
        <v>410</v>
      </c>
      <c r="B397" s="166">
        <f>F397</f>
        <v>23937300</v>
      </c>
      <c r="C397" s="80"/>
      <c r="D397" s="81"/>
      <c r="E397" s="81"/>
      <c r="F397" s="58">
        <f t="shared" si="66"/>
        <v>23937300</v>
      </c>
      <c r="G397" s="58"/>
      <c r="H397" s="58">
        <f>4550000+19387300</f>
        <v>23937300</v>
      </c>
      <c r="I397" s="79"/>
      <c r="J397" s="58"/>
      <c r="K397" s="58"/>
      <c r="L397" s="58"/>
      <c r="M397" s="121"/>
    </row>
    <row r="398" spans="1:13" s="135" customFormat="1" ht="14.25">
      <c r="A398" s="71" t="s">
        <v>411</v>
      </c>
      <c r="B398" s="166">
        <f>F398</f>
        <v>836900</v>
      </c>
      <c r="C398" s="80"/>
      <c r="D398" s="81"/>
      <c r="E398" s="81"/>
      <c r="F398" s="58">
        <f>SUM(H398:M398)</f>
        <v>836900</v>
      </c>
      <c r="G398" s="58"/>
      <c r="H398" s="58">
        <f>836900</f>
        <v>836900</v>
      </c>
      <c r="I398" s="79"/>
      <c r="J398" s="58"/>
      <c r="K398" s="58"/>
      <c r="L398" s="58"/>
      <c r="M398" s="121"/>
    </row>
    <row r="399" spans="1:13" s="135" customFormat="1" ht="15">
      <c r="A399" s="58"/>
      <c r="B399" s="144">
        <f>SUM(B372:B398)</f>
        <v>833063785.3600001</v>
      </c>
      <c r="C399" s="80"/>
      <c r="D399" s="81"/>
      <c r="E399" s="81"/>
      <c r="F399" s="58"/>
      <c r="G399" s="58"/>
      <c r="H399" s="58"/>
      <c r="I399" s="79"/>
      <c r="J399" s="58"/>
      <c r="K399" s="58"/>
      <c r="L399" s="58"/>
      <c r="M399" s="121"/>
    </row>
    <row r="400" spans="1:13" s="135" customFormat="1" ht="15">
      <c r="A400" s="58"/>
      <c r="B400" s="144"/>
      <c r="C400" s="80"/>
      <c r="D400" s="81"/>
      <c r="E400" s="81"/>
      <c r="F400" s="58"/>
      <c r="G400" s="58"/>
      <c r="H400" s="58"/>
      <c r="I400" s="79"/>
      <c r="J400" s="58"/>
      <c r="K400" s="58"/>
      <c r="L400" s="58"/>
      <c r="M400" s="121"/>
    </row>
    <row r="401" spans="1:13" s="175" customFormat="1" ht="15" customHeight="1">
      <c r="A401" s="182" t="s">
        <v>191</v>
      </c>
      <c r="B401" s="143">
        <f>F401+G401</f>
        <v>0</v>
      </c>
      <c r="C401" s="152"/>
      <c r="D401" s="153">
        <v>0</v>
      </c>
      <c r="E401" s="153"/>
      <c r="F401" s="127">
        <f aca="true" t="shared" si="67" ref="F401:F407">SUM(H401:M401)</f>
        <v>0</v>
      </c>
      <c r="G401" s="183"/>
      <c r="H401" s="183"/>
      <c r="I401" s="184"/>
      <c r="J401" s="183"/>
      <c r="K401" s="183"/>
      <c r="L401" s="183"/>
      <c r="M401" s="185"/>
    </row>
    <row r="402" spans="1:13" s="135" customFormat="1" ht="14.25" customHeight="1">
      <c r="A402" s="125" t="s">
        <v>192</v>
      </c>
      <c r="B402" s="166">
        <f>F402</f>
        <v>0</v>
      </c>
      <c r="C402" s="152"/>
      <c r="D402" s="153"/>
      <c r="E402" s="148"/>
      <c r="F402" s="22"/>
      <c r="G402" s="149">
        <v>0</v>
      </c>
      <c r="H402" s="149"/>
      <c r="I402" s="149">
        <f>5000000+5000000</f>
        <v>10000000</v>
      </c>
      <c r="J402" s="149"/>
      <c r="K402" s="149">
        <v>0</v>
      </c>
      <c r="L402" s="149">
        <v>0</v>
      </c>
      <c r="M402" s="149"/>
    </row>
    <row r="403" spans="1:13" s="135" customFormat="1" ht="14.25">
      <c r="A403" s="125" t="s">
        <v>105</v>
      </c>
      <c r="B403" s="166">
        <f>F403</f>
        <v>2120957268.9099998</v>
      </c>
      <c r="C403" s="152"/>
      <c r="D403" s="153">
        <v>500000000</v>
      </c>
      <c r="E403" s="148"/>
      <c r="F403" s="22">
        <f>SUM(H403:L403)</f>
        <v>2120957268.9099998</v>
      </c>
      <c r="G403" s="149"/>
      <c r="H403" s="149">
        <f>4072759924.24-986607323.55-496303677.78-496303775</f>
        <v>2093545147.9099998</v>
      </c>
      <c r="I403" s="149">
        <f>5711200+1171681+20529240</f>
        <v>27412121</v>
      </c>
      <c r="J403" s="149">
        <v>0</v>
      </c>
      <c r="K403" s="149"/>
      <c r="L403" s="149">
        <v>0</v>
      </c>
      <c r="M403" s="149">
        <v>5311490</v>
      </c>
    </row>
    <row r="404" spans="1:13" s="135" customFormat="1" ht="14.25">
      <c r="A404" s="154" t="s">
        <v>193</v>
      </c>
      <c r="B404" s="166">
        <f>F404</f>
        <v>0</v>
      </c>
      <c r="C404" s="152"/>
      <c r="D404" s="153">
        <v>0</v>
      </c>
      <c r="E404" s="148"/>
      <c r="F404" s="22">
        <f>SUM(H404:M404)</f>
        <v>0</v>
      </c>
      <c r="G404" s="149"/>
      <c r="H404" s="149">
        <v>0</v>
      </c>
      <c r="I404" s="149">
        <v>0</v>
      </c>
      <c r="J404" s="149">
        <v>0</v>
      </c>
      <c r="K404" s="150">
        <v>0</v>
      </c>
      <c r="L404" s="149"/>
      <c r="M404" s="149">
        <v>0</v>
      </c>
    </row>
    <row r="405" spans="1:59" ht="15" customHeight="1">
      <c r="A405" s="71"/>
      <c r="B405" s="15">
        <f>SUM(B401:B404)</f>
        <v>2120957268.9099998</v>
      </c>
      <c r="C405" s="152"/>
      <c r="D405" s="153">
        <v>12197286</v>
      </c>
      <c r="E405" s="81"/>
      <c r="F405" s="58"/>
      <c r="G405" s="58"/>
      <c r="H405" s="58"/>
      <c r="I405" s="58">
        <v>0</v>
      </c>
      <c r="J405" s="58">
        <v>0</v>
      </c>
      <c r="K405" s="79">
        <v>0</v>
      </c>
      <c r="L405" s="58"/>
      <c r="M405" s="58">
        <v>8662500</v>
      </c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</row>
    <row r="406" spans="1:13" s="175" customFormat="1" ht="15">
      <c r="A406" s="71"/>
      <c r="B406" s="15"/>
      <c r="C406" s="152"/>
      <c r="D406" s="153"/>
      <c r="E406" s="81"/>
      <c r="F406" s="58">
        <f t="shared" si="67"/>
        <v>0</v>
      </c>
      <c r="G406" s="58"/>
      <c r="H406" s="71"/>
      <c r="I406" s="71"/>
      <c r="J406" s="71"/>
      <c r="K406" s="83"/>
      <c r="L406" s="71"/>
      <c r="M406" s="71"/>
    </row>
    <row r="407" spans="1:13" s="175" customFormat="1" ht="15" customHeight="1">
      <c r="A407" s="82" t="s">
        <v>104</v>
      </c>
      <c r="B407" s="17">
        <f>F407+G407</f>
        <v>0</v>
      </c>
      <c r="C407" s="152"/>
      <c r="D407" s="153">
        <v>0</v>
      </c>
      <c r="E407" s="81"/>
      <c r="F407" s="58">
        <f t="shared" si="67"/>
        <v>0</v>
      </c>
      <c r="G407" s="58"/>
      <c r="H407" s="71"/>
      <c r="I407" s="71"/>
      <c r="J407" s="71"/>
      <c r="K407" s="83"/>
      <c r="L407" s="71"/>
      <c r="M407" s="71"/>
    </row>
    <row r="408" spans="1:13" s="135" customFormat="1" ht="14.25" customHeight="1">
      <c r="A408" s="154" t="s">
        <v>194</v>
      </c>
      <c r="B408" s="79">
        <f aca="true" t="shared" si="68" ref="B408:B416">F408</f>
        <v>34892895</v>
      </c>
      <c r="C408" s="152"/>
      <c r="D408" s="153">
        <v>0</v>
      </c>
      <c r="E408" s="148"/>
      <c r="F408" s="22">
        <f aca="true" t="shared" si="69" ref="F408:F416">SUM(H408:M408)</f>
        <v>34892895</v>
      </c>
      <c r="G408" s="149">
        <v>0</v>
      </c>
      <c r="H408" s="154">
        <f>15753*2215</f>
        <v>34892895</v>
      </c>
      <c r="I408" s="154">
        <v>0</v>
      </c>
      <c r="J408" s="154">
        <v>0</v>
      </c>
      <c r="K408" s="154"/>
      <c r="L408" s="154"/>
      <c r="M408" s="154"/>
    </row>
    <row r="409" spans="1:13" s="135" customFormat="1" ht="14.25" customHeight="1">
      <c r="A409" s="154" t="s">
        <v>163</v>
      </c>
      <c r="B409" s="79">
        <f t="shared" si="68"/>
        <v>1012726.74</v>
      </c>
      <c r="C409" s="152"/>
      <c r="D409" s="153">
        <v>742484.49</v>
      </c>
      <c r="E409" s="148"/>
      <c r="F409" s="22">
        <f t="shared" si="69"/>
        <v>1012726.74</v>
      </c>
      <c r="G409" s="149">
        <v>0</v>
      </c>
      <c r="H409" s="154">
        <v>1012726.74</v>
      </c>
      <c r="I409" s="154"/>
      <c r="J409" s="154"/>
      <c r="K409" s="154"/>
      <c r="L409" s="154"/>
      <c r="M409" s="154"/>
    </row>
    <row r="410" spans="1:13" s="135" customFormat="1" ht="14.25" customHeight="1">
      <c r="A410" s="154" t="s">
        <v>166</v>
      </c>
      <c r="B410" s="79">
        <f t="shared" si="68"/>
        <v>2950000</v>
      </c>
      <c r="C410" s="147">
        <v>0</v>
      </c>
      <c r="D410" s="148">
        <v>0</v>
      </c>
      <c r="E410" s="148"/>
      <c r="F410" s="22">
        <f t="shared" si="69"/>
        <v>2950000</v>
      </c>
      <c r="G410" s="149">
        <v>0</v>
      </c>
      <c r="H410" s="149">
        <f>2950000</f>
        <v>2950000</v>
      </c>
      <c r="I410" s="149">
        <v>0</v>
      </c>
      <c r="J410" s="149">
        <v>0</v>
      </c>
      <c r="K410" s="149"/>
      <c r="L410" s="149"/>
      <c r="M410" s="149"/>
    </row>
    <row r="411" spans="1:13" s="135" customFormat="1" ht="14.25" customHeight="1">
      <c r="A411" s="154" t="s">
        <v>146</v>
      </c>
      <c r="B411" s="79">
        <f t="shared" si="68"/>
        <v>3225412</v>
      </c>
      <c r="C411" s="147"/>
      <c r="D411" s="148"/>
      <c r="E411" s="148"/>
      <c r="F411" s="22">
        <f>1741326+1484086</f>
        <v>3225412</v>
      </c>
      <c r="G411" s="149">
        <v>0</v>
      </c>
      <c r="H411" s="149">
        <f>1646218</f>
        <v>1646218</v>
      </c>
      <c r="I411" s="149">
        <v>3268364</v>
      </c>
      <c r="J411" s="149"/>
      <c r="K411" s="149"/>
      <c r="L411" s="149"/>
      <c r="M411" s="149"/>
    </row>
    <row r="412" spans="1:13" s="135" customFormat="1" ht="14.25" customHeight="1">
      <c r="A412" s="154" t="s">
        <v>195</v>
      </c>
      <c r="B412" s="79">
        <f t="shared" si="68"/>
        <v>79810000</v>
      </c>
      <c r="C412" s="147"/>
      <c r="D412" s="148"/>
      <c r="E412" s="148"/>
      <c r="F412" s="22">
        <f t="shared" si="69"/>
        <v>79810000</v>
      </c>
      <c r="G412" s="149"/>
      <c r="H412" s="149"/>
      <c r="I412" s="149">
        <f>11120000+1000000+27500000+2120000+1560000+10000000+8250000+7500000+6600000+4160000</f>
        <v>79810000</v>
      </c>
      <c r="J412" s="149"/>
      <c r="K412" s="149">
        <v>0</v>
      </c>
      <c r="L412" s="149"/>
      <c r="M412" s="149"/>
    </row>
    <row r="413" spans="1:13" s="135" customFormat="1" ht="14.25" customHeight="1">
      <c r="A413" s="154" t="s">
        <v>321</v>
      </c>
      <c r="B413" s="79">
        <f>F413</f>
        <v>25462320</v>
      </c>
      <c r="C413" s="147"/>
      <c r="D413" s="148"/>
      <c r="E413" s="148"/>
      <c r="F413" s="22">
        <f t="shared" si="69"/>
        <v>25462320</v>
      </c>
      <c r="G413" s="149"/>
      <c r="H413" s="149">
        <f>2855.6*2200</f>
        <v>6282320</v>
      </c>
      <c r="I413" s="149">
        <v>19180000</v>
      </c>
      <c r="J413" s="149"/>
      <c r="K413" s="149">
        <v>0</v>
      </c>
      <c r="L413" s="149"/>
      <c r="M413" s="149"/>
    </row>
    <row r="414" spans="1:13" s="135" customFormat="1" ht="14.25" customHeight="1">
      <c r="A414" s="154" t="s">
        <v>196</v>
      </c>
      <c r="B414" s="79">
        <f t="shared" si="68"/>
        <v>3401300</v>
      </c>
      <c r="C414" s="79">
        <f>G414</f>
        <v>0</v>
      </c>
      <c r="D414" s="79">
        <f>H414</f>
        <v>3401300</v>
      </c>
      <c r="E414" s="148"/>
      <c r="F414" s="22">
        <f t="shared" si="69"/>
        <v>3401300</v>
      </c>
      <c r="G414" s="149"/>
      <c r="H414" s="149">
        <v>3401300</v>
      </c>
      <c r="I414" s="149">
        <v>0</v>
      </c>
      <c r="J414" s="149"/>
      <c r="K414" s="149"/>
      <c r="L414" s="149"/>
      <c r="M414" s="149"/>
    </row>
    <row r="415" spans="1:13" s="135" customFormat="1" ht="14.25" customHeight="1">
      <c r="A415" s="154" t="s">
        <v>254</v>
      </c>
      <c r="B415" s="79">
        <f t="shared" si="68"/>
        <v>25173180</v>
      </c>
      <c r="C415" s="147"/>
      <c r="D415" s="148"/>
      <c r="E415" s="148"/>
      <c r="F415" s="22">
        <f t="shared" si="69"/>
        <v>25173180</v>
      </c>
      <c r="G415" s="149"/>
      <c r="H415" s="149">
        <v>0</v>
      </c>
      <c r="I415" s="149">
        <v>25173180</v>
      </c>
      <c r="J415" s="149"/>
      <c r="K415" s="149"/>
      <c r="L415" s="149"/>
      <c r="M415" s="149"/>
    </row>
    <row r="416" spans="1:13" s="135" customFormat="1" ht="14.25" customHeight="1">
      <c r="A416" s="154" t="s">
        <v>412</v>
      </c>
      <c r="B416" s="79">
        <f t="shared" si="68"/>
        <v>560000</v>
      </c>
      <c r="C416" s="147"/>
      <c r="D416" s="148"/>
      <c r="E416" s="148"/>
      <c r="F416" s="22">
        <f t="shared" si="69"/>
        <v>560000</v>
      </c>
      <c r="G416" s="149"/>
      <c r="H416" s="149"/>
      <c r="I416" s="149">
        <v>560000</v>
      </c>
      <c r="J416" s="149"/>
      <c r="K416" s="149"/>
      <c r="L416" s="149"/>
      <c r="M416" s="149"/>
    </row>
    <row r="417" spans="1:13" s="135" customFormat="1" ht="14.25" customHeight="1">
      <c r="A417" s="154"/>
      <c r="B417" s="145">
        <f>SUM(B407:B416)</f>
        <v>176487833.74</v>
      </c>
      <c r="C417" s="147"/>
      <c r="D417" s="148"/>
      <c r="E417" s="148"/>
      <c r="F417" s="58">
        <f>SUM(H417:M417)</f>
        <v>6984600</v>
      </c>
      <c r="G417" s="149"/>
      <c r="H417" s="149">
        <v>3492300</v>
      </c>
      <c r="I417" s="149">
        <v>3492300</v>
      </c>
      <c r="J417" s="149"/>
      <c r="K417" s="149"/>
      <c r="L417" s="149"/>
      <c r="M417" s="149"/>
    </row>
    <row r="418" spans="1:13" s="175" customFormat="1" ht="15" customHeight="1">
      <c r="A418" s="82" t="s">
        <v>197</v>
      </c>
      <c r="B418" s="17">
        <f>F418+G418</f>
        <v>0</v>
      </c>
      <c r="C418" s="80"/>
      <c r="D418" s="81"/>
      <c r="E418" s="81"/>
      <c r="F418" s="58">
        <f>SUM(H418:M418)</f>
        <v>0</v>
      </c>
      <c r="G418" s="58"/>
      <c r="H418" s="58"/>
      <c r="I418" s="58"/>
      <c r="J418" s="58"/>
      <c r="K418" s="58"/>
      <c r="L418" s="58"/>
      <c r="M418" s="58"/>
    </row>
    <row r="419" spans="1:13" s="135" customFormat="1" ht="14.25">
      <c r="A419" s="154" t="s">
        <v>170</v>
      </c>
      <c r="B419" s="193">
        <f>F419+G419</f>
        <v>7198000</v>
      </c>
      <c r="C419" s="152"/>
      <c r="D419" s="153"/>
      <c r="E419" s="148"/>
      <c r="F419" s="22">
        <f aca="true" t="shared" si="70" ref="F419:F436">SUM(H419:M419)</f>
        <v>7198000</v>
      </c>
      <c r="G419" s="149">
        <v>0</v>
      </c>
      <c r="H419" s="154">
        <v>7198000</v>
      </c>
      <c r="I419" s="154">
        <v>0</v>
      </c>
      <c r="J419" s="154">
        <v>0</v>
      </c>
      <c r="K419" s="154"/>
      <c r="L419" s="154"/>
      <c r="M419" s="154"/>
    </row>
    <row r="420" spans="1:13" s="135" customFormat="1" ht="14.25">
      <c r="A420" s="149" t="s">
        <v>164</v>
      </c>
      <c r="B420" s="166">
        <f aca="true" t="shared" si="71" ref="B420:B436">F420</f>
        <v>110787333.33</v>
      </c>
      <c r="C420" s="152"/>
      <c r="D420" s="153">
        <f>F420</f>
        <v>110787333.33</v>
      </c>
      <c r="E420" s="148"/>
      <c r="F420" s="22">
        <f t="shared" si="70"/>
        <v>110787333.33</v>
      </c>
      <c r="G420" s="149">
        <v>0</v>
      </c>
      <c r="H420" s="149">
        <f>99827333.33+10960000</f>
        <v>110787333.33</v>
      </c>
      <c r="I420" s="149">
        <v>0</v>
      </c>
      <c r="J420" s="149">
        <v>0</v>
      </c>
      <c r="K420" s="149">
        <v>0</v>
      </c>
      <c r="L420" s="149"/>
      <c r="M420" s="149"/>
    </row>
    <row r="421" spans="1:13" s="135" customFormat="1" ht="14.25">
      <c r="A421" s="154" t="s">
        <v>138</v>
      </c>
      <c r="B421" s="166">
        <f t="shared" si="71"/>
        <v>0</v>
      </c>
      <c r="C421" s="152"/>
      <c r="D421" s="153">
        <v>184320000</v>
      </c>
      <c r="E421" s="148"/>
      <c r="F421" s="22">
        <f t="shared" si="70"/>
        <v>0</v>
      </c>
      <c r="G421" s="149">
        <v>0</v>
      </c>
      <c r="H421" s="154"/>
      <c r="I421" s="156">
        <v>0</v>
      </c>
      <c r="J421" s="154"/>
      <c r="K421" s="154"/>
      <c r="L421" s="154"/>
      <c r="M421" s="154"/>
    </row>
    <row r="422" spans="1:13" s="135" customFormat="1" ht="14.25">
      <c r="A422" s="154" t="s">
        <v>198</v>
      </c>
      <c r="B422" s="166">
        <f t="shared" si="71"/>
        <v>0</v>
      </c>
      <c r="C422" s="147">
        <v>0</v>
      </c>
      <c r="D422" s="148">
        <v>0</v>
      </c>
      <c r="E422" s="148"/>
      <c r="F422" s="22">
        <f t="shared" si="70"/>
        <v>0</v>
      </c>
      <c r="G422" s="149"/>
      <c r="H422" s="154"/>
      <c r="I422" s="156">
        <v>0</v>
      </c>
      <c r="J422" s="154"/>
      <c r="K422" s="154"/>
      <c r="L422" s="154"/>
      <c r="M422" s="156">
        <v>0</v>
      </c>
    </row>
    <row r="423" spans="1:13" s="135" customFormat="1" ht="14.25">
      <c r="A423" s="154" t="s">
        <v>169</v>
      </c>
      <c r="B423" s="166">
        <f t="shared" si="71"/>
        <v>30128800</v>
      </c>
      <c r="C423" s="152"/>
      <c r="D423" s="153">
        <v>0</v>
      </c>
      <c r="E423" s="148"/>
      <c r="F423" s="22">
        <f t="shared" si="70"/>
        <v>30128800</v>
      </c>
      <c r="G423" s="149"/>
      <c r="H423" s="154">
        <f>15064400*2</f>
        <v>30128800</v>
      </c>
      <c r="I423" s="154"/>
      <c r="J423" s="154"/>
      <c r="K423" s="154"/>
      <c r="L423" s="154"/>
      <c r="M423" s="154"/>
    </row>
    <row r="424" spans="1:13" s="135" customFormat="1" ht="14.25">
      <c r="A424" s="154" t="s">
        <v>171</v>
      </c>
      <c r="B424" s="166">
        <f t="shared" si="71"/>
        <v>0</v>
      </c>
      <c r="C424" s="147"/>
      <c r="D424" s="153">
        <v>0</v>
      </c>
      <c r="E424" s="148"/>
      <c r="F424" s="22">
        <f t="shared" si="70"/>
        <v>0</v>
      </c>
      <c r="G424" s="149"/>
      <c r="H424" s="154">
        <v>0</v>
      </c>
      <c r="I424" s="154"/>
      <c r="J424" s="156"/>
      <c r="K424" s="154"/>
      <c r="L424" s="154"/>
      <c r="M424" s="154"/>
    </row>
    <row r="425" spans="1:13" s="135" customFormat="1" ht="14.25">
      <c r="A425" s="154" t="s">
        <v>165</v>
      </c>
      <c r="B425" s="166">
        <f t="shared" si="71"/>
        <v>0</v>
      </c>
      <c r="C425" s="152"/>
      <c r="D425" s="153">
        <v>0</v>
      </c>
      <c r="E425" s="148"/>
      <c r="F425" s="22">
        <f t="shared" si="70"/>
        <v>0</v>
      </c>
      <c r="G425" s="149">
        <v>0</v>
      </c>
      <c r="H425" s="154">
        <v>0</v>
      </c>
      <c r="I425" s="154">
        <v>0</v>
      </c>
      <c r="J425" s="156">
        <v>0</v>
      </c>
      <c r="K425" s="154"/>
      <c r="L425" s="154"/>
      <c r="M425" s="154"/>
    </row>
    <row r="426" spans="1:13" s="135" customFormat="1" ht="14.25">
      <c r="A426" s="154" t="s">
        <v>172</v>
      </c>
      <c r="B426" s="166">
        <f t="shared" si="71"/>
        <v>0</v>
      </c>
      <c r="C426" s="147">
        <v>0</v>
      </c>
      <c r="D426" s="148"/>
      <c r="E426" s="148"/>
      <c r="F426" s="22">
        <f t="shared" si="70"/>
        <v>0</v>
      </c>
      <c r="G426" s="149"/>
      <c r="H426" s="154">
        <v>0</v>
      </c>
      <c r="I426" s="156"/>
      <c r="J426" s="154"/>
      <c r="K426" s="154"/>
      <c r="L426" s="154"/>
      <c r="M426" s="154"/>
    </row>
    <row r="427" spans="1:13" s="135" customFormat="1" ht="14.25">
      <c r="A427" s="154" t="s">
        <v>137</v>
      </c>
      <c r="B427" s="166">
        <f t="shared" si="71"/>
        <v>15260000</v>
      </c>
      <c r="C427" s="147"/>
      <c r="D427" s="148">
        <v>0</v>
      </c>
      <c r="E427" s="148"/>
      <c r="F427" s="22">
        <f t="shared" si="70"/>
        <v>15260000</v>
      </c>
      <c r="G427" s="149"/>
      <c r="H427" s="154">
        <v>15260000</v>
      </c>
      <c r="I427" s="156"/>
      <c r="J427" s="154"/>
      <c r="K427" s="154"/>
      <c r="L427" s="154"/>
      <c r="M427" s="154"/>
    </row>
    <row r="428" spans="1:13" s="135" customFormat="1" ht="14.25">
      <c r="A428" s="154" t="s">
        <v>199</v>
      </c>
      <c r="B428" s="166">
        <f t="shared" si="71"/>
        <v>0</v>
      </c>
      <c r="C428" s="147"/>
      <c r="D428" s="148"/>
      <c r="E428" s="148"/>
      <c r="F428" s="22">
        <f t="shared" si="70"/>
        <v>0</v>
      </c>
      <c r="G428" s="149">
        <v>0</v>
      </c>
      <c r="H428" s="154">
        <v>0</v>
      </c>
      <c r="I428" s="156"/>
      <c r="J428" s="154"/>
      <c r="K428" s="154"/>
      <c r="L428" s="154"/>
      <c r="M428" s="154"/>
    </row>
    <row r="429" spans="1:13" s="135" customFormat="1" ht="14.25">
      <c r="A429" s="154" t="s">
        <v>200</v>
      </c>
      <c r="B429" s="166">
        <f t="shared" si="71"/>
        <v>32580000</v>
      </c>
      <c r="C429" s="147"/>
      <c r="D429" s="148">
        <v>31920000</v>
      </c>
      <c r="E429" s="148"/>
      <c r="F429" s="22">
        <f t="shared" si="70"/>
        <v>32580000</v>
      </c>
      <c r="G429" s="149">
        <v>0</v>
      </c>
      <c r="H429" s="154">
        <v>32580000</v>
      </c>
      <c r="I429" s="156"/>
      <c r="J429" s="154"/>
      <c r="K429" s="154"/>
      <c r="L429" s="154"/>
      <c r="M429" s="154"/>
    </row>
    <row r="430" spans="1:13" s="135" customFormat="1" ht="14.25">
      <c r="A430" s="154" t="s">
        <v>264</v>
      </c>
      <c r="B430" s="166">
        <f t="shared" si="71"/>
        <v>56500000</v>
      </c>
      <c r="C430" s="147"/>
      <c r="D430" s="148">
        <v>46300000</v>
      </c>
      <c r="E430" s="148"/>
      <c r="F430" s="22">
        <f t="shared" si="70"/>
        <v>56500000</v>
      </c>
      <c r="G430" s="149"/>
      <c r="H430" s="156">
        <f>38200000+12900000+5400000</f>
        <v>56500000</v>
      </c>
      <c r="I430" s="156"/>
      <c r="J430" s="154"/>
      <c r="K430" s="154"/>
      <c r="L430" s="154"/>
      <c r="M430" s="154"/>
    </row>
    <row r="431" spans="1:13" s="135" customFormat="1" ht="14.25">
      <c r="A431" s="154" t="s">
        <v>265</v>
      </c>
      <c r="B431" s="166">
        <f t="shared" si="71"/>
        <v>33038014</v>
      </c>
      <c r="C431" s="147"/>
      <c r="D431" s="148"/>
      <c r="E431" s="148"/>
      <c r="F431" s="22">
        <f t="shared" si="70"/>
        <v>33038014</v>
      </c>
      <c r="G431" s="149"/>
      <c r="H431" s="154">
        <v>33038014</v>
      </c>
      <c r="I431" s="156"/>
      <c r="J431" s="154"/>
      <c r="K431" s="154"/>
      <c r="L431" s="154"/>
      <c r="M431" s="154"/>
    </row>
    <row r="432" spans="1:13" s="135" customFormat="1" ht="14.25">
      <c r="A432" s="154" t="s">
        <v>269</v>
      </c>
      <c r="B432" s="166">
        <f t="shared" si="71"/>
        <v>51860000</v>
      </c>
      <c r="C432" s="147"/>
      <c r="D432" s="148">
        <f>77790000.93</f>
        <v>77790000.93</v>
      </c>
      <c r="E432" s="148"/>
      <c r="F432" s="22">
        <f>H432</f>
        <v>51860000</v>
      </c>
      <c r="G432" s="149"/>
      <c r="H432" s="154">
        <v>51860000</v>
      </c>
      <c r="I432" s="156"/>
      <c r="J432" s="154"/>
      <c r="K432" s="154"/>
      <c r="L432" s="154"/>
      <c r="M432" s="154"/>
    </row>
    <row r="433" spans="1:13" s="135" customFormat="1" ht="14.25">
      <c r="A433" s="154" t="s">
        <v>324</v>
      </c>
      <c r="B433" s="166">
        <f t="shared" si="71"/>
        <v>0</v>
      </c>
      <c r="C433" s="147"/>
      <c r="D433" s="148"/>
      <c r="E433" s="148"/>
      <c r="F433" s="22">
        <f t="shared" si="70"/>
        <v>0</v>
      </c>
      <c r="G433" s="149"/>
      <c r="H433" s="154"/>
      <c r="I433" s="156"/>
      <c r="J433" s="154"/>
      <c r="K433" s="154"/>
      <c r="L433" s="154"/>
      <c r="M433" s="154"/>
    </row>
    <row r="434" spans="1:13" s="135" customFormat="1" ht="14.25">
      <c r="A434" s="154" t="s">
        <v>334</v>
      </c>
      <c r="B434" s="166">
        <f t="shared" si="71"/>
        <v>0</v>
      </c>
      <c r="C434" s="147"/>
      <c r="D434" s="148"/>
      <c r="E434" s="148"/>
      <c r="F434" s="22">
        <f t="shared" si="70"/>
        <v>0</v>
      </c>
      <c r="G434" s="149"/>
      <c r="H434" s="154"/>
      <c r="I434" s="156"/>
      <c r="J434" s="154"/>
      <c r="K434" s="154"/>
      <c r="L434" s="154"/>
      <c r="M434" s="154"/>
    </row>
    <row r="435" spans="1:13" s="135" customFormat="1" ht="14.25">
      <c r="A435" s="154" t="s">
        <v>338</v>
      </c>
      <c r="B435" s="166">
        <f t="shared" si="71"/>
        <v>12840000</v>
      </c>
      <c r="C435" s="147"/>
      <c r="D435" s="148"/>
      <c r="E435" s="148"/>
      <c r="F435" s="22">
        <f t="shared" si="70"/>
        <v>12840000</v>
      </c>
      <c r="G435" s="149"/>
      <c r="H435" s="154">
        <v>12840000</v>
      </c>
      <c r="I435" s="156"/>
      <c r="J435" s="154"/>
      <c r="K435" s="154"/>
      <c r="L435" s="154"/>
      <c r="M435" s="154"/>
    </row>
    <row r="436" spans="1:13" s="135" customFormat="1" ht="14.25">
      <c r="A436" s="154" t="s">
        <v>340</v>
      </c>
      <c r="B436" s="166">
        <f t="shared" si="71"/>
        <v>26432000</v>
      </c>
      <c r="C436" s="147"/>
      <c r="D436" s="148"/>
      <c r="E436" s="148"/>
      <c r="F436" s="22">
        <f t="shared" si="70"/>
        <v>26432000</v>
      </c>
      <c r="G436" s="149"/>
      <c r="H436" s="154">
        <f>13216000*2</f>
        <v>26432000</v>
      </c>
      <c r="I436" s="156"/>
      <c r="J436" s="154"/>
      <c r="K436" s="154"/>
      <c r="L436" s="154"/>
      <c r="M436" s="154"/>
    </row>
    <row r="437" spans="1:13" s="135" customFormat="1" ht="14.25" customHeight="1">
      <c r="A437" s="154"/>
      <c r="B437" s="79"/>
      <c r="C437" s="147"/>
      <c r="D437" s="148"/>
      <c r="E437" s="148"/>
      <c r="F437" s="22"/>
      <c r="G437" s="149"/>
      <c r="H437" s="154"/>
      <c r="I437" s="156"/>
      <c r="J437" s="154"/>
      <c r="K437" s="154"/>
      <c r="L437" s="154"/>
      <c r="M437" s="154"/>
    </row>
    <row r="438" spans="1:13" s="175" customFormat="1" ht="14.25" customHeight="1">
      <c r="A438" s="71"/>
      <c r="B438" s="15">
        <f>SUM(B418:B437)</f>
        <v>376624147.33</v>
      </c>
      <c r="C438" s="80"/>
      <c r="D438" s="81"/>
      <c r="E438" s="81"/>
      <c r="F438" s="58">
        <f>SUM(H438:M438)</f>
        <v>0</v>
      </c>
      <c r="G438" s="58"/>
      <c r="H438" s="71"/>
      <c r="I438" s="83"/>
      <c r="J438" s="71"/>
      <c r="K438" s="71"/>
      <c r="L438" s="71"/>
      <c r="M438" s="71"/>
    </row>
    <row r="439" spans="1:13" s="175" customFormat="1" ht="15" customHeight="1">
      <c r="A439" s="82" t="s">
        <v>201</v>
      </c>
      <c r="B439" s="17">
        <f>F439+G439</f>
        <v>0</v>
      </c>
      <c r="C439" s="80"/>
      <c r="D439" s="81"/>
      <c r="E439" s="81"/>
      <c r="F439" s="58">
        <f>SUM(H439:M439)</f>
        <v>0</v>
      </c>
      <c r="G439" s="58"/>
      <c r="H439" s="71"/>
      <c r="I439" s="83"/>
      <c r="J439" s="71"/>
      <c r="K439" s="71"/>
      <c r="L439" s="71"/>
      <c r="M439" s="71"/>
    </row>
    <row r="440" spans="1:13" s="191" customFormat="1" ht="14.25" customHeight="1">
      <c r="A440" s="154" t="s">
        <v>131</v>
      </c>
      <c r="B440" s="166">
        <f aca="true" t="shared" si="72" ref="B440:B446">F440</f>
        <v>0</v>
      </c>
      <c r="C440" s="147">
        <v>0</v>
      </c>
      <c r="D440" s="148"/>
      <c r="E440" s="148"/>
      <c r="F440" s="22">
        <f aca="true" t="shared" si="73" ref="F440:F446">SUM(H440:M440)</f>
        <v>0</v>
      </c>
      <c r="G440" s="149"/>
      <c r="H440" s="154"/>
      <c r="I440" s="156"/>
      <c r="J440" s="154">
        <v>0</v>
      </c>
      <c r="K440" s="154">
        <v>0</v>
      </c>
      <c r="L440" s="154"/>
      <c r="M440" s="154"/>
    </row>
    <row r="441" spans="1:13" s="191" customFormat="1" ht="14.25" customHeight="1">
      <c r="A441" s="154" t="s">
        <v>167</v>
      </c>
      <c r="B441" s="166">
        <f t="shared" si="72"/>
        <v>3105000</v>
      </c>
      <c r="C441" s="147"/>
      <c r="D441" s="148">
        <f>F441</f>
        <v>3105000</v>
      </c>
      <c r="E441" s="148"/>
      <c r="F441" s="22">
        <f t="shared" si="73"/>
        <v>3105000</v>
      </c>
      <c r="G441" s="149">
        <v>0</v>
      </c>
      <c r="H441" s="146">
        <v>3105000</v>
      </c>
      <c r="I441" s="146">
        <v>0</v>
      </c>
      <c r="J441" s="149">
        <v>0</v>
      </c>
      <c r="K441" s="149">
        <v>0</v>
      </c>
      <c r="L441" s="149"/>
      <c r="M441" s="149"/>
    </row>
    <row r="442" spans="1:13" s="191" customFormat="1" ht="14.25" customHeight="1">
      <c r="A442" s="154" t="s">
        <v>202</v>
      </c>
      <c r="B442" s="166">
        <f t="shared" si="72"/>
        <v>769946459.9999999</v>
      </c>
      <c r="C442" s="157"/>
      <c r="D442" s="148"/>
      <c r="E442" s="148"/>
      <c r="F442" s="22">
        <f t="shared" si="73"/>
        <v>769946459.9999999</v>
      </c>
      <c r="G442" s="149">
        <v>0</v>
      </c>
      <c r="H442" s="158">
        <f>354000*2174.99</f>
        <v>769946459.9999999</v>
      </c>
      <c r="I442" s="150">
        <v>0</v>
      </c>
      <c r="J442" s="149">
        <v>0</v>
      </c>
      <c r="K442" s="149">
        <v>0</v>
      </c>
      <c r="L442" s="149"/>
      <c r="M442" s="149"/>
    </row>
    <row r="443" spans="1:13" s="191" customFormat="1" ht="14.25" customHeight="1">
      <c r="A443" s="154" t="s">
        <v>139</v>
      </c>
      <c r="B443" s="166">
        <f t="shared" si="72"/>
        <v>0</v>
      </c>
      <c r="C443" s="152"/>
      <c r="D443" s="153"/>
      <c r="E443" s="148"/>
      <c r="F443" s="22">
        <f t="shared" si="73"/>
        <v>0</v>
      </c>
      <c r="G443" s="149"/>
      <c r="H443" s="149"/>
      <c r="I443" s="149"/>
      <c r="J443" s="149"/>
      <c r="K443" s="149"/>
      <c r="L443" s="149"/>
      <c r="M443" s="149"/>
    </row>
    <row r="444" spans="1:13" s="191" customFormat="1" ht="14.25" customHeight="1">
      <c r="A444" s="154" t="s">
        <v>168</v>
      </c>
      <c r="B444" s="166">
        <f t="shared" si="72"/>
        <v>0</v>
      </c>
      <c r="C444" s="152"/>
      <c r="D444" s="153">
        <v>0</v>
      </c>
      <c r="E444" s="148"/>
      <c r="F444" s="22">
        <f t="shared" si="73"/>
        <v>0</v>
      </c>
      <c r="G444" s="149">
        <v>0</v>
      </c>
      <c r="H444" s="149">
        <v>0</v>
      </c>
      <c r="I444" s="149"/>
      <c r="J444" s="149">
        <v>0</v>
      </c>
      <c r="K444" s="149"/>
      <c r="L444" s="149"/>
      <c r="M444" s="149"/>
    </row>
    <row r="445" spans="1:13" s="191" customFormat="1" ht="14.25" customHeight="1">
      <c r="A445" s="154" t="s">
        <v>203</v>
      </c>
      <c r="B445" s="166">
        <f t="shared" si="72"/>
        <v>0</v>
      </c>
      <c r="C445" s="152"/>
      <c r="D445" s="153">
        <v>1700000</v>
      </c>
      <c r="E445" s="148"/>
      <c r="F445" s="22">
        <f t="shared" si="73"/>
        <v>0</v>
      </c>
      <c r="G445" s="149"/>
      <c r="H445" s="149"/>
      <c r="I445" s="149">
        <v>0</v>
      </c>
      <c r="J445" s="149">
        <v>0</v>
      </c>
      <c r="K445" s="149"/>
      <c r="L445" s="149"/>
      <c r="M445" s="149"/>
    </row>
    <row r="446" spans="1:13" s="191" customFormat="1" ht="14.25" customHeight="1">
      <c r="A446" s="154" t="s">
        <v>413</v>
      </c>
      <c r="B446" s="166">
        <f t="shared" si="72"/>
        <v>717148712.81</v>
      </c>
      <c r="C446" s="152"/>
      <c r="D446" s="153">
        <v>0</v>
      </c>
      <c r="E446" s="148"/>
      <c r="F446" s="22">
        <f t="shared" si="73"/>
        <v>717148712.81</v>
      </c>
      <c r="G446" s="149"/>
      <c r="H446" s="149">
        <v>717148712.81</v>
      </c>
      <c r="I446" s="149"/>
      <c r="J446" s="149"/>
      <c r="K446" s="149"/>
      <c r="L446" s="149"/>
      <c r="M446" s="149"/>
    </row>
    <row r="447" spans="1:13" s="175" customFormat="1" ht="14.25" customHeight="1">
      <c r="A447" s="71"/>
      <c r="B447" s="15">
        <f>SUM(B439:B446)</f>
        <v>1490200172.81</v>
      </c>
      <c r="C447" s="152"/>
      <c r="D447" s="153">
        <v>0</v>
      </c>
      <c r="E447" s="81"/>
      <c r="F447" s="58">
        <f>SUM(H447:M447)</f>
        <v>0</v>
      </c>
      <c r="G447" s="58"/>
      <c r="H447" s="58"/>
      <c r="I447" s="58"/>
      <c r="J447" s="58"/>
      <c r="K447" s="58"/>
      <c r="L447" s="58"/>
      <c r="M447" s="58"/>
    </row>
    <row r="448" spans="1:13" s="175" customFormat="1" ht="14.25" customHeight="1">
      <c r="A448" s="82" t="s">
        <v>204</v>
      </c>
      <c r="B448" s="17">
        <f>F448+G448</f>
        <v>0</v>
      </c>
      <c r="C448" s="152"/>
      <c r="D448" s="153"/>
      <c r="E448" s="81"/>
      <c r="F448" s="58">
        <f>SUM(H448:M448)</f>
        <v>0</v>
      </c>
      <c r="G448" s="58"/>
      <c r="H448" s="58"/>
      <c r="I448" s="58"/>
      <c r="J448" s="58"/>
      <c r="K448" s="58"/>
      <c r="L448" s="58"/>
      <c r="M448" s="58"/>
    </row>
    <row r="449" spans="1:13" s="191" customFormat="1" ht="14.25" customHeight="1">
      <c r="A449" s="154" t="s">
        <v>145</v>
      </c>
      <c r="B449" s="166">
        <f aca="true" t="shared" si="74" ref="B449:B455">F449</f>
        <v>30577365.28</v>
      </c>
      <c r="C449" s="152">
        <v>0</v>
      </c>
      <c r="D449" s="153">
        <v>15288682.64</v>
      </c>
      <c r="E449" s="148"/>
      <c r="F449" s="22">
        <f aca="true" t="shared" si="75" ref="F449:F456">SUM(H449:M449)</f>
        <v>30577365.28</v>
      </c>
      <c r="G449" s="149">
        <v>0</v>
      </c>
      <c r="H449" s="154">
        <f>15288682.64*2</f>
        <v>30577365.28</v>
      </c>
      <c r="I449" s="154">
        <v>0</v>
      </c>
      <c r="J449" s="154">
        <v>0</v>
      </c>
      <c r="K449" s="154"/>
      <c r="L449" s="154"/>
      <c r="M449" s="154"/>
    </row>
    <row r="450" spans="1:13" s="191" customFormat="1" ht="14.25" customHeight="1">
      <c r="A450" s="154" t="s">
        <v>173</v>
      </c>
      <c r="B450" s="166">
        <f t="shared" si="74"/>
        <v>1250000</v>
      </c>
      <c r="C450" s="152">
        <v>0</v>
      </c>
      <c r="D450" s="153">
        <v>0</v>
      </c>
      <c r="E450" s="148"/>
      <c r="F450" s="22">
        <f t="shared" si="75"/>
        <v>1250000</v>
      </c>
      <c r="G450" s="149"/>
      <c r="H450" s="154">
        <v>1250000</v>
      </c>
      <c r="I450" s="154"/>
      <c r="J450" s="154">
        <v>0</v>
      </c>
      <c r="K450" s="154"/>
      <c r="L450" s="154"/>
      <c r="M450" s="154"/>
    </row>
    <row r="451" spans="1:13" s="191" customFormat="1" ht="14.25" customHeight="1">
      <c r="A451" s="154" t="s">
        <v>205</v>
      </c>
      <c r="B451" s="166">
        <f t="shared" si="74"/>
        <v>3794880</v>
      </c>
      <c r="C451" s="152"/>
      <c r="D451" s="153">
        <v>0</v>
      </c>
      <c r="E451" s="148"/>
      <c r="F451" s="22">
        <f t="shared" si="75"/>
        <v>3794880</v>
      </c>
      <c r="G451" s="149"/>
      <c r="H451" s="154">
        <f>1416000+2378880</f>
        <v>3794880</v>
      </c>
      <c r="I451" s="154">
        <v>0</v>
      </c>
      <c r="J451" s="154"/>
      <c r="K451" s="154"/>
      <c r="L451" s="154"/>
      <c r="M451" s="154"/>
    </row>
    <row r="452" spans="1:13" s="191" customFormat="1" ht="14.25" customHeight="1">
      <c r="A452" s="154" t="s">
        <v>174</v>
      </c>
      <c r="B452" s="166">
        <f t="shared" si="74"/>
        <v>6002770</v>
      </c>
      <c r="C452" s="152"/>
      <c r="D452" s="153">
        <v>0</v>
      </c>
      <c r="E452" s="148"/>
      <c r="F452" s="22">
        <f t="shared" si="75"/>
        <v>6002770</v>
      </c>
      <c r="G452" s="149">
        <v>0</v>
      </c>
      <c r="H452" s="154">
        <f>2914655+3088115</f>
        <v>6002770</v>
      </c>
      <c r="I452" s="154">
        <v>0</v>
      </c>
      <c r="J452" s="154">
        <v>0</v>
      </c>
      <c r="K452" s="154">
        <v>0</v>
      </c>
      <c r="L452" s="154">
        <v>0</v>
      </c>
      <c r="M452" s="154"/>
    </row>
    <row r="453" spans="1:13" s="191" customFormat="1" ht="14.25" customHeight="1">
      <c r="A453" s="149" t="s">
        <v>142</v>
      </c>
      <c r="B453" s="166">
        <f t="shared" si="74"/>
        <v>2951825</v>
      </c>
      <c r="C453" s="152"/>
      <c r="D453" s="153">
        <v>2951825</v>
      </c>
      <c r="E453" s="148"/>
      <c r="F453" s="22">
        <f t="shared" si="75"/>
        <v>2951825</v>
      </c>
      <c r="G453" s="149">
        <v>0</v>
      </c>
      <c r="H453" s="149">
        <v>2951825</v>
      </c>
      <c r="I453" s="149">
        <v>0</v>
      </c>
      <c r="J453" s="155"/>
      <c r="K453" s="155"/>
      <c r="L453" s="155"/>
      <c r="M453" s="155"/>
    </row>
    <row r="454" spans="1:13" s="191" customFormat="1" ht="14.25" customHeight="1">
      <c r="A454" s="149" t="s">
        <v>206</v>
      </c>
      <c r="B454" s="166">
        <f t="shared" si="74"/>
        <v>3630000</v>
      </c>
      <c r="C454" s="152"/>
      <c r="D454" s="153">
        <v>0</v>
      </c>
      <c r="E454" s="148"/>
      <c r="F454" s="22">
        <f t="shared" si="75"/>
        <v>3630000</v>
      </c>
      <c r="G454" s="149">
        <v>0</v>
      </c>
      <c r="H454" s="149">
        <v>3630000</v>
      </c>
      <c r="I454" s="149">
        <v>0</v>
      </c>
      <c r="J454" s="155">
        <v>0</v>
      </c>
      <c r="K454" s="155"/>
      <c r="L454" s="155"/>
      <c r="M454" s="155"/>
    </row>
    <row r="455" spans="1:13" s="191" customFormat="1" ht="14.25" customHeight="1">
      <c r="A455" s="149" t="s">
        <v>207</v>
      </c>
      <c r="B455" s="166">
        <f t="shared" si="74"/>
        <v>800000</v>
      </c>
      <c r="C455" s="152"/>
      <c r="D455" s="153">
        <v>400000</v>
      </c>
      <c r="E455" s="148"/>
      <c r="F455" s="22">
        <v>800000</v>
      </c>
      <c r="G455" s="149"/>
      <c r="H455" s="149">
        <f>400000</f>
        <v>400000</v>
      </c>
      <c r="I455" s="149"/>
      <c r="J455" s="155"/>
      <c r="K455" s="155"/>
      <c r="L455" s="155"/>
      <c r="M455" s="155"/>
    </row>
    <row r="456" spans="1:13" s="191" customFormat="1" ht="14.25" customHeight="1">
      <c r="A456" s="149" t="s">
        <v>301</v>
      </c>
      <c r="B456" s="166">
        <v>0</v>
      </c>
      <c r="C456" s="152">
        <v>0</v>
      </c>
      <c r="D456" s="153">
        <v>0</v>
      </c>
      <c r="E456" s="148">
        <v>0</v>
      </c>
      <c r="F456" s="22">
        <f t="shared" si="75"/>
        <v>0</v>
      </c>
      <c r="G456" s="149">
        <v>0</v>
      </c>
      <c r="H456" s="149">
        <v>0</v>
      </c>
      <c r="I456" s="149">
        <v>0</v>
      </c>
      <c r="J456" s="155"/>
      <c r="K456" s="155"/>
      <c r="L456" s="155"/>
      <c r="M456" s="155"/>
    </row>
    <row r="457" spans="1:13" s="175" customFormat="1" ht="15">
      <c r="A457" s="58"/>
      <c r="B457" s="15">
        <f>SUM(B448:B456)</f>
        <v>49006840.28</v>
      </c>
      <c r="C457" s="152"/>
      <c r="D457" s="153"/>
      <c r="E457" s="81"/>
      <c r="F457" s="58">
        <f>SUM(H457:M457)</f>
        <v>0</v>
      </c>
      <c r="G457" s="58"/>
      <c r="H457" s="58"/>
      <c r="I457" s="58"/>
      <c r="J457" s="113"/>
      <c r="K457" s="113"/>
      <c r="L457" s="113"/>
      <c r="M457" s="113"/>
    </row>
    <row r="458" spans="1:13" s="135" customFormat="1" ht="15">
      <c r="A458" s="58"/>
      <c r="B458" s="144"/>
      <c r="C458" s="58"/>
      <c r="D458" s="58">
        <f>B459-SUMMARY!F58</f>
        <v>-4196958251.220093</v>
      </c>
      <c r="E458" s="81"/>
      <c r="F458" s="58"/>
      <c r="G458" s="58"/>
      <c r="H458" s="58"/>
      <c r="I458" s="79"/>
      <c r="J458" s="58"/>
      <c r="K458" s="58"/>
      <c r="L458" s="58"/>
      <c r="M458" s="121"/>
    </row>
    <row r="459" spans="1:13" ht="15">
      <c r="A459" s="14" t="s">
        <v>16</v>
      </c>
      <c r="B459" s="14">
        <f>B457+B447+B438+B417+B405+B399+B370+B363+B358+B347+B338+B327+B309+B302+B296+B284+B269+B264+B254+B227+B224+B196+B191+B177+B136+B147+B108+B89+B59+B47</f>
        <v>761536749838.9697</v>
      </c>
      <c r="C459" s="28">
        <f>SUM(C63:C457)</f>
        <v>349397874.06</v>
      </c>
      <c r="D459" s="29"/>
      <c r="E459" s="29"/>
      <c r="F459" s="16"/>
      <c r="G459" s="16"/>
      <c r="H459" s="16"/>
      <c r="I459" s="17"/>
      <c r="J459" s="16"/>
      <c r="K459" s="16"/>
      <c r="L459" s="16"/>
      <c r="M459" s="49"/>
    </row>
    <row r="460" spans="1:13" ht="15">
      <c r="A460" s="14"/>
      <c r="B460" s="16"/>
      <c r="C460" s="28"/>
      <c r="D460" s="29"/>
      <c r="E460" s="29"/>
      <c r="F460" s="16"/>
      <c r="G460" s="16"/>
      <c r="H460" s="16"/>
      <c r="I460" s="17"/>
      <c r="J460" s="16"/>
      <c r="K460" s="16"/>
      <c r="L460" s="16"/>
      <c r="M460" s="49"/>
    </row>
    <row r="461" spans="1:13" ht="15">
      <c r="A461" s="14"/>
      <c r="B461" s="16"/>
      <c r="C461" s="28"/>
      <c r="D461" s="29"/>
      <c r="E461" s="29"/>
      <c r="F461" s="16"/>
      <c r="G461" s="16"/>
      <c r="H461" s="16"/>
      <c r="I461" s="17"/>
      <c r="J461" s="16"/>
      <c r="K461" s="16"/>
      <c r="L461" s="16"/>
      <c r="M461" s="49"/>
    </row>
    <row r="462" spans="1:13" ht="15">
      <c r="A462" s="14"/>
      <c r="B462" s="16"/>
      <c r="C462" s="28"/>
      <c r="D462" s="29"/>
      <c r="E462" s="29"/>
      <c r="F462" s="16"/>
      <c r="G462" s="16"/>
      <c r="H462" s="16"/>
      <c r="I462" s="17"/>
      <c r="J462" s="16"/>
      <c r="K462" s="16"/>
      <c r="L462" s="16"/>
      <c r="M462" s="49"/>
    </row>
    <row r="463" spans="14:59" ht="21" customHeight="1"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</row>
    <row r="464" spans="14:59" ht="21" customHeight="1"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</row>
    <row r="465" spans="2:59" ht="21" customHeight="1">
      <c r="B465" s="18">
        <f>B198+B224+B227+B254+B264+B269+B284+B296+B302+B309+B338+B347+B358+B363+B370+B399+B405+B417+B438+B447+B457</f>
        <v>20333938081.975502</v>
      </c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</row>
    <row r="466" spans="14:59" ht="21" customHeight="1"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</row>
    <row r="467" spans="14:59" ht="21" customHeight="1"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</row>
    <row r="468" spans="2:59" ht="21" customHeight="1">
      <c r="B468" s="18">
        <f>B465-SUMMARY!B55</f>
        <v>-4554939179.380001</v>
      </c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</row>
    <row r="469" spans="14:59" ht="21" customHeight="1"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</row>
    <row r="470" spans="14:59" ht="21" customHeight="1"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</row>
    <row r="471" spans="14:59" ht="21" customHeight="1"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</row>
    <row r="472" spans="14:59" ht="21" customHeight="1"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</row>
    <row r="473" spans="14:59" ht="21" customHeight="1"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</row>
    <row r="474" spans="14:59" ht="21" customHeight="1"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</row>
    <row r="475" spans="3:59" ht="21" customHeight="1">
      <c r="C475" s="18"/>
      <c r="D475" s="18"/>
      <c r="E475" s="18"/>
      <c r="I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</row>
    <row r="476" spans="3:59" ht="21" customHeight="1">
      <c r="C476" s="18"/>
      <c r="D476" s="18"/>
      <c r="E476" s="18"/>
      <c r="I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</row>
    <row r="477" spans="3:59" ht="21" customHeight="1">
      <c r="C477" s="18"/>
      <c r="D477" s="18"/>
      <c r="E477" s="18"/>
      <c r="I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</row>
    <row r="478" spans="3:59" ht="21" customHeight="1">
      <c r="C478" s="18"/>
      <c r="D478" s="18"/>
      <c r="E478" s="18"/>
      <c r="I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</row>
    <row r="479" spans="3:59" ht="21" customHeight="1">
      <c r="C479" s="18"/>
      <c r="D479" s="18"/>
      <c r="E479" s="18"/>
      <c r="I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</row>
    <row r="480" spans="3:59" ht="21" customHeight="1">
      <c r="C480" s="18"/>
      <c r="D480" s="18"/>
      <c r="E480" s="18"/>
      <c r="I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</row>
    <row r="481" spans="3:59" ht="21" customHeight="1">
      <c r="C481" s="18"/>
      <c r="D481" s="18"/>
      <c r="E481" s="18"/>
      <c r="I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</row>
    <row r="482" spans="3:59" ht="21" customHeight="1">
      <c r="C482" s="18"/>
      <c r="D482" s="18"/>
      <c r="E482" s="18"/>
      <c r="I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</row>
    <row r="483" spans="3:59" ht="21" customHeight="1">
      <c r="C483" s="18"/>
      <c r="D483" s="18"/>
      <c r="E483" s="18"/>
      <c r="I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</row>
    <row r="484" spans="3:59" ht="21" customHeight="1">
      <c r="C484" s="18"/>
      <c r="D484" s="18"/>
      <c r="E484" s="18"/>
      <c r="I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</row>
    <row r="485" spans="3:59" ht="21" customHeight="1">
      <c r="C485" s="18"/>
      <c r="D485" s="18"/>
      <c r="E485" s="18"/>
      <c r="I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</row>
    <row r="486" spans="3:59" ht="21" customHeight="1">
      <c r="C486" s="18"/>
      <c r="D486" s="18"/>
      <c r="E486" s="18"/>
      <c r="I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</row>
    <row r="487" spans="3:59" ht="21" customHeight="1">
      <c r="C487" s="18"/>
      <c r="D487" s="18"/>
      <c r="E487" s="18"/>
      <c r="I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</row>
    <row r="488" spans="3:59" ht="21" customHeight="1">
      <c r="C488" s="18"/>
      <c r="D488" s="18"/>
      <c r="E488" s="18"/>
      <c r="I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</row>
    <row r="489" spans="3:59" ht="21" customHeight="1">
      <c r="C489" s="18"/>
      <c r="D489" s="18"/>
      <c r="E489" s="18"/>
      <c r="I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</row>
    <row r="490" spans="3:59" ht="21" customHeight="1">
      <c r="C490" s="18"/>
      <c r="D490" s="18"/>
      <c r="E490" s="18"/>
      <c r="I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</row>
    <row r="491" spans="3:59" ht="21" customHeight="1">
      <c r="C491" s="18"/>
      <c r="D491" s="18"/>
      <c r="E491" s="18"/>
      <c r="I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</row>
    <row r="492" spans="3:59" ht="21" customHeight="1">
      <c r="C492" s="18"/>
      <c r="D492" s="18"/>
      <c r="E492" s="18"/>
      <c r="I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</row>
    <row r="493" spans="3:59" ht="21" customHeight="1">
      <c r="C493" s="18"/>
      <c r="D493" s="18"/>
      <c r="E493" s="18"/>
      <c r="I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</row>
    <row r="494" spans="3:59" ht="21" customHeight="1">
      <c r="C494" s="18"/>
      <c r="D494" s="18"/>
      <c r="E494" s="18"/>
      <c r="I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</row>
    <row r="495" spans="3:59" ht="21" customHeight="1">
      <c r="C495" s="18"/>
      <c r="D495" s="18"/>
      <c r="E495" s="18"/>
      <c r="I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</row>
    <row r="496" spans="3:59" ht="21" customHeight="1">
      <c r="C496" s="18"/>
      <c r="D496" s="18"/>
      <c r="E496" s="18"/>
      <c r="I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</row>
    <row r="497" spans="3:59" ht="21" customHeight="1">
      <c r="C497" s="18"/>
      <c r="D497" s="18"/>
      <c r="E497" s="18"/>
      <c r="I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</row>
    <row r="498" spans="3:59" ht="21" customHeight="1">
      <c r="C498" s="18"/>
      <c r="D498" s="18"/>
      <c r="E498" s="18"/>
      <c r="I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</row>
    <row r="499" spans="3:59" ht="21" customHeight="1">
      <c r="C499" s="18"/>
      <c r="D499" s="18"/>
      <c r="E499" s="18"/>
      <c r="I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</row>
    <row r="500" spans="3:59" ht="21" customHeight="1">
      <c r="C500" s="18"/>
      <c r="D500" s="18"/>
      <c r="E500" s="18"/>
      <c r="I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</row>
    <row r="501" spans="3:59" ht="21" customHeight="1">
      <c r="C501" s="18"/>
      <c r="D501" s="18"/>
      <c r="E501" s="18"/>
      <c r="I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</row>
    <row r="502" spans="3:59" ht="21" customHeight="1">
      <c r="C502" s="18"/>
      <c r="D502" s="18"/>
      <c r="E502" s="18"/>
      <c r="I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</row>
    <row r="503" spans="3:59" ht="21" customHeight="1">
      <c r="C503" s="18"/>
      <c r="D503" s="18"/>
      <c r="E503" s="18"/>
      <c r="I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</row>
    <row r="504" spans="3:59" ht="21" customHeight="1">
      <c r="C504" s="18"/>
      <c r="D504" s="18"/>
      <c r="E504" s="18"/>
      <c r="I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</row>
    <row r="505" spans="3:59" ht="21" customHeight="1">
      <c r="C505" s="18"/>
      <c r="D505" s="18"/>
      <c r="E505" s="18"/>
      <c r="I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</row>
    <row r="506" spans="3:59" ht="21" customHeight="1">
      <c r="C506" s="18"/>
      <c r="D506" s="18"/>
      <c r="E506" s="18"/>
      <c r="I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</row>
    <row r="507" spans="3:59" ht="21" customHeight="1">
      <c r="C507" s="18"/>
      <c r="D507" s="18"/>
      <c r="E507" s="18"/>
      <c r="I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</row>
    <row r="508" spans="3:59" ht="21" customHeight="1">
      <c r="C508" s="18"/>
      <c r="D508" s="18"/>
      <c r="E508" s="18"/>
      <c r="I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</row>
    <row r="509" spans="3:59" ht="21" customHeight="1">
      <c r="C509" s="18"/>
      <c r="D509" s="18"/>
      <c r="E509" s="18"/>
      <c r="I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</row>
    <row r="510" spans="3:59" ht="21" customHeight="1">
      <c r="C510" s="18"/>
      <c r="D510" s="18"/>
      <c r="E510" s="18"/>
      <c r="I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</row>
    <row r="511" spans="3:59" ht="21" customHeight="1">
      <c r="C511" s="18"/>
      <c r="D511" s="18"/>
      <c r="E511" s="18"/>
      <c r="I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</row>
    <row r="512" spans="3:59" ht="21" customHeight="1">
      <c r="C512" s="18"/>
      <c r="D512" s="18"/>
      <c r="E512" s="18"/>
      <c r="I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</row>
    <row r="513" spans="3:59" ht="21" customHeight="1">
      <c r="C513" s="18"/>
      <c r="D513" s="18"/>
      <c r="E513" s="18"/>
      <c r="I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</row>
    <row r="514" spans="3:59" ht="21" customHeight="1">
      <c r="C514" s="18"/>
      <c r="D514" s="18"/>
      <c r="E514" s="18"/>
      <c r="I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</row>
    <row r="515" spans="3:59" ht="21" customHeight="1">
      <c r="C515" s="18"/>
      <c r="D515" s="18"/>
      <c r="E515" s="18"/>
      <c r="I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</row>
    <row r="516" spans="3:59" ht="21" customHeight="1">
      <c r="C516" s="18"/>
      <c r="D516" s="18"/>
      <c r="E516" s="18"/>
      <c r="I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</row>
    <row r="517" spans="3:59" ht="21" customHeight="1">
      <c r="C517" s="18"/>
      <c r="D517" s="18"/>
      <c r="E517" s="18"/>
      <c r="I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</row>
    <row r="518" spans="3:59" ht="21" customHeight="1">
      <c r="C518" s="18"/>
      <c r="D518" s="18"/>
      <c r="E518" s="18"/>
      <c r="I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</row>
    <row r="519" spans="3:59" ht="21" customHeight="1">
      <c r="C519" s="18"/>
      <c r="D519" s="18"/>
      <c r="E519" s="18"/>
      <c r="I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</row>
    <row r="520" spans="3:59" ht="21" customHeight="1">
      <c r="C520" s="18"/>
      <c r="D520" s="18"/>
      <c r="E520" s="18"/>
      <c r="I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</row>
    <row r="521" spans="3:59" ht="21" customHeight="1">
      <c r="C521" s="18"/>
      <c r="D521" s="18"/>
      <c r="E521" s="18"/>
      <c r="I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</row>
    <row r="522" spans="3:59" ht="21" customHeight="1">
      <c r="C522" s="18"/>
      <c r="D522" s="18"/>
      <c r="E522" s="18"/>
      <c r="I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</row>
    <row r="523" spans="3:59" ht="21" customHeight="1">
      <c r="C523" s="18"/>
      <c r="D523" s="18"/>
      <c r="E523" s="18"/>
      <c r="I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</row>
    <row r="524" spans="3:59" ht="21" customHeight="1">
      <c r="C524" s="18"/>
      <c r="D524" s="18"/>
      <c r="E524" s="18"/>
      <c r="I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</row>
    <row r="525" spans="3:59" ht="21" customHeight="1">
      <c r="C525" s="18"/>
      <c r="D525" s="18"/>
      <c r="E525" s="18"/>
      <c r="I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</row>
    <row r="526" spans="3:59" ht="21" customHeight="1">
      <c r="C526" s="18"/>
      <c r="D526" s="18"/>
      <c r="E526" s="18"/>
      <c r="I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</row>
    <row r="527" spans="3:59" ht="21" customHeight="1">
      <c r="C527" s="18"/>
      <c r="D527" s="18"/>
      <c r="E527" s="18"/>
      <c r="I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</row>
    <row r="528" spans="3:59" ht="21" customHeight="1">
      <c r="C528" s="18"/>
      <c r="D528" s="18"/>
      <c r="E528" s="18"/>
      <c r="I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</row>
    <row r="529" spans="3:59" ht="21" customHeight="1">
      <c r="C529" s="18"/>
      <c r="D529" s="18"/>
      <c r="E529" s="18"/>
      <c r="I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</row>
    <row r="530" spans="3:59" ht="21" customHeight="1">
      <c r="C530" s="18"/>
      <c r="D530" s="18"/>
      <c r="E530" s="18"/>
      <c r="I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</row>
    <row r="531" spans="3:59" ht="21" customHeight="1">
      <c r="C531" s="18"/>
      <c r="D531" s="18"/>
      <c r="E531" s="18"/>
      <c r="I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</row>
    <row r="532" spans="3:59" ht="21" customHeight="1">
      <c r="C532" s="18"/>
      <c r="D532" s="18"/>
      <c r="E532" s="18"/>
      <c r="I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</row>
    <row r="533" spans="3:59" ht="21" customHeight="1">
      <c r="C533" s="18"/>
      <c r="D533" s="18"/>
      <c r="E533" s="18"/>
      <c r="I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</row>
    <row r="534" spans="3:59" ht="21" customHeight="1">
      <c r="C534" s="18"/>
      <c r="D534" s="18"/>
      <c r="E534" s="18"/>
      <c r="I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</row>
    <row r="535" spans="3:59" ht="21" customHeight="1">
      <c r="C535" s="18"/>
      <c r="D535" s="18"/>
      <c r="E535" s="18"/>
      <c r="I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</row>
    <row r="536" spans="3:59" ht="21" customHeight="1">
      <c r="C536" s="18"/>
      <c r="D536" s="18"/>
      <c r="E536" s="18"/>
      <c r="I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</row>
    <row r="537" spans="3:59" ht="21" customHeight="1">
      <c r="C537" s="18"/>
      <c r="D537" s="18"/>
      <c r="E537" s="18"/>
      <c r="I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</row>
    <row r="538" spans="3:59" ht="21" customHeight="1">
      <c r="C538" s="18"/>
      <c r="D538" s="18"/>
      <c r="E538" s="18"/>
      <c r="I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</row>
    <row r="539" spans="3:59" ht="21" customHeight="1">
      <c r="C539" s="18"/>
      <c r="D539" s="18"/>
      <c r="E539" s="18"/>
      <c r="I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</row>
    <row r="540" spans="3:59" ht="21" customHeight="1">
      <c r="C540" s="18"/>
      <c r="D540" s="18"/>
      <c r="E540" s="18"/>
      <c r="I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</row>
    <row r="541" spans="3:59" ht="21" customHeight="1">
      <c r="C541" s="18"/>
      <c r="D541" s="18"/>
      <c r="E541" s="18"/>
      <c r="I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</row>
    <row r="542" spans="3:59" ht="21" customHeight="1">
      <c r="C542" s="18"/>
      <c r="D542" s="18"/>
      <c r="E542" s="18"/>
      <c r="I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</row>
    <row r="543" spans="3:59" ht="21" customHeight="1">
      <c r="C543" s="18"/>
      <c r="D543" s="18"/>
      <c r="E543" s="18"/>
      <c r="I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</row>
    <row r="544" spans="3:59" ht="21" customHeight="1">
      <c r="C544" s="18"/>
      <c r="D544" s="18"/>
      <c r="E544" s="18"/>
      <c r="I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</row>
    <row r="545" spans="3:59" ht="21" customHeight="1">
      <c r="C545" s="18"/>
      <c r="D545" s="18"/>
      <c r="E545" s="18"/>
      <c r="I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</row>
    <row r="546" spans="3:59" ht="21" customHeight="1">
      <c r="C546" s="18"/>
      <c r="D546" s="18"/>
      <c r="E546" s="18"/>
      <c r="I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</row>
    <row r="547" spans="3:59" ht="21" customHeight="1">
      <c r="C547" s="18"/>
      <c r="D547" s="18"/>
      <c r="E547" s="18"/>
      <c r="I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</row>
    <row r="548" spans="3:59" ht="21" customHeight="1">
      <c r="C548" s="18"/>
      <c r="D548" s="18"/>
      <c r="E548" s="18"/>
      <c r="I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</row>
    <row r="549" spans="3:59" ht="21" customHeight="1">
      <c r="C549" s="18"/>
      <c r="D549" s="18"/>
      <c r="E549" s="18"/>
      <c r="I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</row>
    <row r="550" spans="3:59" ht="21" customHeight="1">
      <c r="C550" s="18"/>
      <c r="D550" s="18"/>
      <c r="E550" s="18"/>
      <c r="I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</row>
    <row r="551" spans="3:59" ht="21" customHeight="1">
      <c r="C551" s="18"/>
      <c r="D551" s="18"/>
      <c r="E551" s="18"/>
      <c r="I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</row>
    <row r="552" spans="3:59" ht="21" customHeight="1">
      <c r="C552" s="18"/>
      <c r="D552" s="18"/>
      <c r="E552" s="18"/>
      <c r="I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</row>
    <row r="553" spans="3:59" ht="21" customHeight="1">
      <c r="C553" s="18"/>
      <c r="D553" s="18"/>
      <c r="E553" s="18"/>
      <c r="I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</row>
    <row r="554" spans="3:59" ht="21" customHeight="1">
      <c r="C554" s="18"/>
      <c r="D554" s="18"/>
      <c r="E554" s="18"/>
      <c r="I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</row>
    <row r="555" spans="3:59" ht="21" customHeight="1">
      <c r="C555" s="18"/>
      <c r="D555" s="18"/>
      <c r="E555" s="18"/>
      <c r="I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</row>
    <row r="556" spans="3:59" ht="21" customHeight="1">
      <c r="C556" s="18"/>
      <c r="D556" s="18"/>
      <c r="E556" s="18"/>
      <c r="I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</row>
    <row r="557" spans="3:59" ht="21" customHeight="1">
      <c r="C557" s="18"/>
      <c r="D557" s="18"/>
      <c r="E557" s="18"/>
      <c r="I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</row>
    <row r="558" spans="3:59" ht="21" customHeight="1">
      <c r="C558" s="18"/>
      <c r="D558" s="18"/>
      <c r="E558" s="18"/>
      <c r="I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</row>
    <row r="559" spans="3:59" ht="21" customHeight="1">
      <c r="C559" s="18"/>
      <c r="D559" s="18"/>
      <c r="E559" s="18"/>
      <c r="I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</row>
    <row r="560" spans="3:59" ht="21" customHeight="1">
      <c r="C560" s="18"/>
      <c r="D560" s="18"/>
      <c r="E560" s="18"/>
      <c r="I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</row>
    <row r="561" spans="3:59" ht="21" customHeight="1">
      <c r="C561" s="18"/>
      <c r="D561" s="18"/>
      <c r="E561" s="18"/>
      <c r="I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</row>
    <row r="562" spans="3:59" ht="21" customHeight="1">
      <c r="C562" s="18"/>
      <c r="D562" s="18"/>
      <c r="E562" s="18"/>
      <c r="I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</row>
    <row r="563" spans="3:59" ht="21" customHeight="1">
      <c r="C563" s="18"/>
      <c r="D563" s="18"/>
      <c r="E563" s="18"/>
      <c r="I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</row>
    <row r="564" spans="3:59" ht="21" customHeight="1">
      <c r="C564" s="18"/>
      <c r="D564" s="18"/>
      <c r="E564" s="18"/>
      <c r="I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</row>
    <row r="565" spans="3:59" ht="21" customHeight="1">
      <c r="C565" s="18"/>
      <c r="D565" s="18"/>
      <c r="E565" s="18"/>
      <c r="I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</row>
    <row r="566" spans="3:59" ht="21" customHeight="1">
      <c r="C566" s="18"/>
      <c r="D566" s="18"/>
      <c r="E566" s="18"/>
      <c r="I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</row>
    <row r="567" spans="3:59" ht="21" customHeight="1">
      <c r="C567" s="18"/>
      <c r="D567" s="18"/>
      <c r="E567" s="18"/>
      <c r="I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</row>
    <row r="568" spans="3:59" ht="21" customHeight="1">
      <c r="C568" s="18"/>
      <c r="D568" s="18"/>
      <c r="E568" s="18"/>
      <c r="I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</row>
    <row r="569" spans="3:59" ht="21" customHeight="1">
      <c r="C569" s="18"/>
      <c r="D569" s="18"/>
      <c r="E569" s="18"/>
      <c r="I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</row>
    <row r="570" spans="3:59" ht="21" customHeight="1">
      <c r="C570" s="18"/>
      <c r="D570" s="18"/>
      <c r="E570" s="18"/>
      <c r="I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</row>
    <row r="571" spans="3:59" ht="21" customHeight="1">
      <c r="C571" s="18"/>
      <c r="D571" s="18"/>
      <c r="E571" s="18"/>
      <c r="I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</row>
    <row r="572" spans="3:59" ht="21" customHeight="1">
      <c r="C572" s="18"/>
      <c r="D572" s="18"/>
      <c r="E572" s="18"/>
      <c r="I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</row>
    <row r="573" spans="3:59" ht="21" customHeight="1">
      <c r="C573" s="18"/>
      <c r="D573" s="18"/>
      <c r="E573" s="18"/>
      <c r="I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</row>
    <row r="574" spans="3:59" ht="21" customHeight="1">
      <c r="C574" s="18"/>
      <c r="D574" s="18"/>
      <c r="E574" s="18"/>
      <c r="I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</row>
    <row r="575" spans="3:59" ht="21" customHeight="1">
      <c r="C575" s="18"/>
      <c r="D575" s="18"/>
      <c r="E575" s="18"/>
      <c r="I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</row>
    <row r="576" spans="3:59" ht="21" customHeight="1">
      <c r="C576" s="18"/>
      <c r="D576" s="18"/>
      <c r="E576" s="18"/>
      <c r="I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</row>
    <row r="577" spans="3:59" ht="21" customHeight="1">
      <c r="C577" s="18"/>
      <c r="D577" s="18"/>
      <c r="E577" s="18"/>
      <c r="I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</row>
    <row r="578" spans="3:59" ht="21" customHeight="1">
      <c r="C578" s="18"/>
      <c r="D578" s="18"/>
      <c r="E578" s="18"/>
      <c r="I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</row>
    <row r="579" spans="3:59" ht="21" customHeight="1">
      <c r="C579" s="18"/>
      <c r="D579" s="18"/>
      <c r="E579" s="18"/>
      <c r="I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</row>
    <row r="580" spans="3:59" ht="21" customHeight="1">
      <c r="C580" s="18"/>
      <c r="D580" s="18"/>
      <c r="E580" s="18"/>
      <c r="I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</row>
    <row r="581" spans="3:59" ht="21" customHeight="1">
      <c r="C581" s="18"/>
      <c r="D581" s="18"/>
      <c r="E581" s="18"/>
      <c r="I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</row>
    <row r="582" spans="3:59" ht="21" customHeight="1">
      <c r="C582" s="18"/>
      <c r="D582" s="18"/>
      <c r="E582" s="18"/>
      <c r="I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</row>
    <row r="583" spans="3:59" ht="21" customHeight="1">
      <c r="C583" s="18"/>
      <c r="D583" s="18"/>
      <c r="E583" s="18"/>
      <c r="I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</row>
    <row r="584" spans="3:59" ht="21" customHeight="1">
      <c r="C584" s="18"/>
      <c r="D584" s="18"/>
      <c r="E584" s="18"/>
      <c r="I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</row>
    <row r="585" spans="3:59" ht="21" customHeight="1">
      <c r="C585" s="18"/>
      <c r="D585" s="18"/>
      <c r="E585" s="18"/>
      <c r="I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</row>
    <row r="586" spans="3:59" ht="21" customHeight="1">
      <c r="C586" s="18"/>
      <c r="D586" s="18"/>
      <c r="E586" s="18"/>
      <c r="I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</row>
    <row r="587" spans="3:59" ht="21" customHeight="1">
      <c r="C587" s="18"/>
      <c r="D587" s="18"/>
      <c r="E587" s="18"/>
      <c r="I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</row>
    <row r="588" spans="3:59" ht="21" customHeight="1">
      <c r="C588" s="18"/>
      <c r="D588" s="18"/>
      <c r="E588" s="18"/>
      <c r="I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</row>
    <row r="589" spans="3:59" ht="21" customHeight="1">
      <c r="C589" s="18"/>
      <c r="D589" s="18"/>
      <c r="E589" s="18"/>
      <c r="I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</row>
    <row r="590" spans="3:59" ht="21" customHeight="1">
      <c r="C590" s="18"/>
      <c r="D590" s="18"/>
      <c r="E590" s="18"/>
      <c r="I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</row>
    <row r="591" spans="3:59" ht="21" customHeight="1">
      <c r="C591" s="18"/>
      <c r="D591" s="18"/>
      <c r="E591" s="18"/>
      <c r="I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</row>
    <row r="592" spans="3:59" ht="21" customHeight="1">
      <c r="C592" s="18"/>
      <c r="D592" s="18"/>
      <c r="E592" s="18"/>
      <c r="I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</row>
    <row r="593" spans="3:59" ht="21" customHeight="1">
      <c r="C593" s="18"/>
      <c r="D593" s="18"/>
      <c r="E593" s="18"/>
      <c r="I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</row>
    <row r="594" spans="3:59" ht="21" customHeight="1">
      <c r="C594" s="18"/>
      <c r="D594" s="18"/>
      <c r="E594" s="18"/>
      <c r="I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</row>
    <row r="595" spans="3:59" ht="21" customHeight="1">
      <c r="C595" s="18"/>
      <c r="D595" s="18"/>
      <c r="E595" s="18"/>
      <c r="I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</row>
    <row r="596" spans="3:59" ht="21" customHeight="1">
      <c r="C596" s="18"/>
      <c r="D596" s="18"/>
      <c r="E596" s="18"/>
      <c r="I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</row>
    <row r="597" spans="3:59" ht="21" customHeight="1">
      <c r="C597" s="18"/>
      <c r="D597" s="18"/>
      <c r="E597" s="18"/>
      <c r="I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</row>
    <row r="598" spans="3:59" ht="21" customHeight="1">
      <c r="C598" s="18"/>
      <c r="D598" s="18"/>
      <c r="E598" s="18"/>
      <c r="I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</row>
    <row r="599" spans="3:59" ht="21" customHeight="1">
      <c r="C599" s="18"/>
      <c r="D599" s="18"/>
      <c r="E599" s="18"/>
      <c r="I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</row>
    <row r="600" spans="3:59" ht="21" customHeight="1">
      <c r="C600" s="18"/>
      <c r="D600" s="18"/>
      <c r="E600" s="18"/>
      <c r="I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</row>
    <row r="601" spans="3:59" ht="21" customHeight="1">
      <c r="C601" s="18"/>
      <c r="D601" s="18"/>
      <c r="E601" s="18"/>
      <c r="I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</row>
    <row r="602" spans="3:59" ht="21" customHeight="1">
      <c r="C602" s="18"/>
      <c r="D602" s="18"/>
      <c r="E602" s="18"/>
      <c r="I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</row>
    <row r="603" spans="3:59" ht="21" customHeight="1">
      <c r="C603" s="18"/>
      <c r="D603" s="18"/>
      <c r="E603" s="18"/>
      <c r="I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</row>
    <row r="604" spans="3:59" ht="21" customHeight="1">
      <c r="C604" s="18"/>
      <c r="D604" s="18"/>
      <c r="E604" s="18"/>
      <c r="I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</row>
    <row r="605" spans="3:59" ht="21" customHeight="1">
      <c r="C605" s="18"/>
      <c r="D605" s="18"/>
      <c r="E605" s="18"/>
      <c r="I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</row>
    <row r="606" spans="3:59" ht="21" customHeight="1">
      <c r="C606" s="18"/>
      <c r="D606" s="18"/>
      <c r="E606" s="18"/>
      <c r="I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</row>
    <row r="607" spans="3:59" ht="21" customHeight="1">
      <c r="C607" s="18"/>
      <c r="D607" s="18"/>
      <c r="E607" s="18"/>
      <c r="I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</row>
    <row r="608" spans="3:59" ht="21" customHeight="1">
      <c r="C608" s="18"/>
      <c r="D608" s="18"/>
      <c r="E608" s="18"/>
      <c r="I608" s="18"/>
      <c r="J608" s="22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</row>
    <row r="609" spans="3:59" ht="21" customHeight="1">
      <c r="C609" s="18"/>
      <c r="D609" s="18"/>
      <c r="E609" s="18"/>
      <c r="I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</row>
    <row r="610" spans="3:59" ht="21" customHeight="1">
      <c r="C610" s="18"/>
      <c r="D610" s="18"/>
      <c r="E610" s="18"/>
      <c r="I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</row>
    <row r="611" spans="3:59" ht="21" customHeight="1">
      <c r="C611" s="18"/>
      <c r="D611" s="18"/>
      <c r="E611" s="18"/>
      <c r="I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</row>
    <row r="612" spans="3:59" ht="21" customHeight="1">
      <c r="C612" s="18"/>
      <c r="D612" s="18"/>
      <c r="E612" s="18"/>
      <c r="I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</row>
    <row r="613" spans="3:59" ht="21" customHeight="1">
      <c r="C613" s="18"/>
      <c r="D613" s="18"/>
      <c r="E613" s="18"/>
      <c r="I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</row>
    <row r="614" spans="3:59" ht="21" customHeight="1">
      <c r="C614" s="18"/>
      <c r="D614" s="18"/>
      <c r="E614" s="18"/>
      <c r="I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</row>
    <row r="615" spans="3:59" ht="21" customHeight="1">
      <c r="C615" s="18"/>
      <c r="D615" s="18"/>
      <c r="E615" s="18"/>
      <c r="I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</row>
    <row r="616" spans="3:59" ht="21" customHeight="1">
      <c r="C616" s="18"/>
      <c r="D616" s="18"/>
      <c r="E616" s="18"/>
      <c r="I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</row>
    <row r="617" spans="3:59" ht="21" customHeight="1">
      <c r="C617" s="18"/>
      <c r="D617" s="18"/>
      <c r="E617" s="18"/>
      <c r="I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</row>
    <row r="618" spans="3:59" ht="21" customHeight="1">
      <c r="C618" s="18"/>
      <c r="D618" s="18"/>
      <c r="E618" s="18"/>
      <c r="I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</row>
    <row r="619" spans="3:59" ht="21" customHeight="1">
      <c r="C619" s="18"/>
      <c r="D619" s="18"/>
      <c r="E619" s="18"/>
      <c r="I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</row>
    <row r="620" spans="3:59" ht="21" customHeight="1">
      <c r="C620" s="18"/>
      <c r="D620" s="18"/>
      <c r="E620" s="18"/>
      <c r="I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</row>
    <row r="621" spans="3:59" ht="21" customHeight="1">
      <c r="C621" s="18"/>
      <c r="D621" s="18"/>
      <c r="E621" s="18"/>
      <c r="I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</row>
    <row r="622" spans="3:59" ht="21" customHeight="1">
      <c r="C622" s="18"/>
      <c r="D622" s="18"/>
      <c r="E622" s="18"/>
      <c r="I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</row>
    <row r="623" spans="3:59" ht="21" customHeight="1">
      <c r="C623" s="18"/>
      <c r="D623" s="18"/>
      <c r="E623" s="18"/>
      <c r="I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</row>
    <row r="624" spans="3:59" ht="21" customHeight="1">
      <c r="C624" s="18"/>
      <c r="D624" s="18"/>
      <c r="E624" s="18"/>
      <c r="I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</row>
    <row r="625" spans="3:59" ht="21" customHeight="1">
      <c r="C625" s="18"/>
      <c r="D625" s="18"/>
      <c r="E625" s="18"/>
      <c r="I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</row>
    <row r="626" spans="3:59" ht="21" customHeight="1">
      <c r="C626" s="18"/>
      <c r="D626" s="18"/>
      <c r="E626" s="18"/>
      <c r="I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</row>
    <row r="627" spans="3:59" ht="21" customHeight="1">
      <c r="C627" s="18"/>
      <c r="D627" s="18"/>
      <c r="E627" s="18"/>
      <c r="I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</row>
    <row r="628" spans="3:59" ht="21" customHeight="1">
      <c r="C628" s="18"/>
      <c r="D628" s="18"/>
      <c r="E628" s="18"/>
      <c r="I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</row>
    <row r="629" spans="3:59" ht="21" customHeight="1">
      <c r="C629" s="18"/>
      <c r="D629" s="18"/>
      <c r="E629" s="18"/>
      <c r="I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</row>
    <row r="630" spans="3:59" ht="21" customHeight="1">
      <c r="C630" s="18"/>
      <c r="D630" s="18"/>
      <c r="E630" s="18"/>
      <c r="I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</row>
    <row r="631" spans="3:59" ht="21" customHeight="1">
      <c r="C631" s="18"/>
      <c r="D631" s="18"/>
      <c r="E631" s="18"/>
      <c r="I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</row>
    <row r="632" spans="3:59" ht="21" customHeight="1">
      <c r="C632" s="18"/>
      <c r="D632" s="18"/>
      <c r="E632" s="18"/>
      <c r="I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</row>
    <row r="633" spans="3:59" ht="21" customHeight="1">
      <c r="C633" s="18"/>
      <c r="D633" s="18"/>
      <c r="E633" s="18"/>
      <c r="I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</row>
    <row r="634" spans="3:59" ht="21" customHeight="1">
      <c r="C634" s="18"/>
      <c r="D634" s="18"/>
      <c r="E634" s="18"/>
      <c r="I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</row>
    <row r="635" spans="3:59" ht="21" customHeight="1">
      <c r="C635" s="18"/>
      <c r="D635" s="18"/>
      <c r="E635" s="18"/>
      <c r="I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</row>
    <row r="636" spans="3:59" ht="21" customHeight="1">
      <c r="C636" s="18"/>
      <c r="D636" s="18"/>
      <c r="E636" s="18"/>
      <c r="I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</row>
    <row r="637" spans="3:59" ht="21" customHeight="1">
      <c r="C637" s="18"/>
      <c r="D637" s="18"/>
      <c r="E637" s="18"/>
      <c r="I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</row>
    <row r="638" spans="3:59" ht="21" customHeight="1">
      <c r="C638" s="18"/>
      <c r="D638" s="18"/>
      <c r="E638" s="18"/>
      <c r="I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</row>
    <row r="639" spans="3:59" ht="21" customHeight="1">
      <c r="C639" s="18"/>
      <c r="D639" s="18"/>
      <c r="E639" s="18"/>
      <c r="I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</row>
    <row r="640" spans="3:59" ht="21" customHeight="1">
      <c r="C640" s="18"/>
      <c r="D640" s="18"/>
      <c r="E640" s="18"/>
      <c r="I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</row>
    <row r="641" spans="3:59" ht="21" customHeight="1">
      <c r="C641" s="18"/>
      <c r="D641" s="18"/>
      <c r="E641" s="18"/>
      <c r="I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</row>
    <row r="642" spans="3:59" ht="21" customHeight="1">
      <c r="C642" s="18"/>
      <c r="D642" s="18"/>
      <c r="E642" s="18"/>
      <c r="I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</row>
    <row r="643" spans="3:59" ht="21" customHeight="1">
      <c r="C643" s="18"/>
      <c r="D643" s="18"/>
      <c r="E643" s="18"/>
      <c r="I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</row>
    <row r="644" spans="3:59" ht="21" customHeight="1">
      <c r="C644" s="18"/>
      <c r="D644" s="18"/>
      <c r="E644" s="18"/>
      <c r="I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</row>
    <row r="645" spans="3:59" ht="21" customHeight="1">
      <c r="C645" s="18"/>
      <c r="D645" s="18"/>
      <c r="E645" s="18"/>
      <c r="I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</row>
    <row r="646" spans="3:59" ht="21" customHeight="1">
      <c r="C646" s="18"/>
      <c r="D646" s="18"/>
      <c r="E646" s="18"/>
      <c r="I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</row>
    <row r="647" spans="3:59" ht="21" customHeight="1">
      <c r="C647" s="18"/>
      <c r="D647" s="18"/>
      <c r="E647" s="18"/>
      <c r="I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</row>
    <row r="648" spans="3:59" ht="21" customHeight="1">
      <c r="C648" s="18"/>
      <c r="D648" s="18"/>
      <c r="E648" s="18"/>
      <c r="I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</row>
    <row r="649" spans="3:59" ht="21" customHeight="1">
      <c r="C649" s="18"/>
      <c r="D649" s="18"/>
      <c r="E649" s="18"/>
      <c r="I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</row>
    <row r="650" spans="3:59" ht="21" customHeight="1">
      <c r="C650" s="18"/>
      <c r="D650" s="18"/>
      <c r="E650" s="18"/>
      <c r="I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</row>
    <row r="651" spans="3:59" ht="21" customHeight="1">
      <c r="C651" s="18"/>
      <c r="D651" s="18"/>
      <c r="E651" s="18"/>
      <c r="I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</row>
    <row r="652" spans="3:59" ht="21" customHeight="1">
      <c r="C652" s="18"/>
      <c r="D652" s="18"/>
      <c r="E652" s="18"/>
      <c r="I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</row>
    <row r="653" spans="3:59" ht="21" customHeight="1">
      <c r="C653" s="18"/>
      <c r="D653" s="18"/>
      <c r="E653" s="18"/>
      <c r="I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</row>
    <row r="654" spans="3:59" ht="21" customHeight="1">
      <c r="C654" s="18"/>
      <c r="D654" s="18"/>
      <c r="E654" s="18"/>
      <c r="I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</row>
    <row r="655" spans="3:59" ht="21" customHeight="1">
      <c r="C655" s="18"/>
      <c r="D655" s="18"/>
      <c r="E655" s="18"/>
      <c r="I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</row>
    <row r="656" spans="3:59" ht="21" customHeight="1">
      <c r="C656" s="18"/>
      <c r="D656" s="18"/>
      <c r="E656" s="18"/>
      <c r="I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</row>
    <row r="657" spans="3:59" ht="21" customHeight="1">
      <c r="C657" s="18"/>
      <c r="D657" s="18"/>
      <c r="E657" s="18"/>
      <c r="I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</row>
    <row r="658" spans="3:59" ht="21" customHeight="1">
      <c r="C658" s="18"/>
      <c r="D658" s="18"/>
      <c r="E658" s="18"/>
      <c r="I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</row>
    <row r="659" spans="3:59" ht="21" customHeight="1">
      <c r="C659" s="18"/>
      <c r="D659" s="18"/>
      <c r="E659" s="18"/>
      <c r="I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</row>
    <row r="660" spans="3:59" ht="21" customHeight="1">
      <c r="C660" s="18"/>
      <c r="D660" s="18"/>
      <c r="E660" s="18"/>
      <c r="I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</row>
    <row r="661" spans="3:59" ht="21" customHeight="1">
      <c r="C661" s="18"/>
      <c r="D661" s="18"/>
      <c r="E661" s="18"/>
      <c r="I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</row>
    <row r="662" spans="3:59" ht="21" customHeight="1">
      <c r="C662" s="18"/>
      <c r="D662" s="18"/>
      <c r="E662" s="18"/>
      <c r="I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</row>
    <row r="663" spans="3:59" ht="21" customHeight="1">
      <c r="C663" s="18"/>
      <c r="D663" s="18"/>
      <c r="E663" s="18"/>
      <c r="I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</row>
    <row r="664" spans="3:59" ht="21" customHeight="1">
      <c r="C664" s="18"/>
      <c r="D664" s="18"/>
      <c r="E664" s="18"/>
      <c r="I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</row>
    <row r="665" spans="3:59" ht="21" customHeight="1">
      <c r="C665" s="18"/>
      <c r="D665" s="18"/>
      <c r="E665" s="18"/>
      <c r="I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</row>
    <row r="666" spans="3:59" ht="21" customHeight="1">
      <c r="C666" s="18"/>
      <c r="D666" s="18"/>
      <c r="E666" s="18"/>
      <c r="I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</row>
    <row r="667" spans="3:59" ht="21" customHeight="1">
      <c r="C667" s="18"/>
      <c r="D667" s="18"/>
      <c r="E667" s="18"/>
      <c r="I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</row>
    <row r="668" spans="3:59" ht="21" customHeight="1">
      <c r="C668" s="18"/>
      <c r="D668" s="18"/>
      <c r="E668" s="18"/>
      <c r="I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</row>
    <row r="669" spans="3:59" ht="21" customHeight="1">
      <c r="C669" s="18"/>
      <c r="D669" s="18"/>
      <c r="E669" s="18"/>
      <c r="I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</row>
    <row r="670" spans="3:59" ht="21" customHeight="1">
      <c r="C670" s="18"/>
      <c r="D670" s="18"/>
      <c r="E670" s="18"/>
      <c r="I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</row>
    <row r="671" spans="3:59" ht="21" customHeight="1">
      <c r="C671" s="18"/>
      <c r="D671" s="18"/>
      <c r="E671" s="18"/>
      <c r="I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</row>
    <row r="672" spans="3:59" ht="21" customHeight="1">
      <c r="C672" s="18"/>
      <c r="D672" s="18"/>
      <c r="E672" s="18"/>
      <c r="I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</row>
    <row r="673" spans="3:59" ht="21" customHeight="1">
      <c r="C673" s="18"/>
      <c r="D673" s="18"/>
      <c r="E673" s="18"/>
      <c r="I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</row>
    <row r="674" spans="3:59" ht="21" customHeight="1">
      <c r="C674" s="18"/>
      <c r="D674" s="18"/>
      <c r="E674" s="18"/>
      <c r="I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</row>
    <row r="675" spans="3:59" ht="21" customHeight="1">
      <c r="C675" s="18"/>
      <c r="D675" s="18"/>
      <c r="E675" s="18"/>
      <c r="I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</row>
    <row r="676" spans="3:59" ht="21" customHeight="1">
      <c r="C676" s="18"/>
      <c r="D676" s="18"/>
      <c r="E676" s="18"/>
      <c r="I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</row>
    <row r="677" spans="3:59" ht="21" customHeight="1">
      <c r="C677" s="18"/>
      <c r="D677" s="18"/>
      <c r="E677" s="18"/>
      <c r="I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</row>
    <row r="678" spans="3:59" ht="21" customHeight="1">
      <c r="C678" s="18"/>
      <c r="D678" s="18"/>
      <c r="E678" s="18"/>
      <c r="I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</row>
    <row r="679" spans="3:59" ht="21" customHeight="1">
      <c r="C679" s="18"/>
      <c r="D679" s="18"/>
      <c r="E679" s="18"/>
      <c r="I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</row>
    <row r="680" spans="3:59" ht="21" customHeight="1">
      <c r="C680" s="18"/>
      <c r="D680" s="18"/>
      <c r="E680" s="18"/>
      <c r="I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</row>
    <row r="681" spans="3:59" ht="21" customHeight="1">
      <c r="C681" s="18"/>
      <c r="D681" s="18"/>
      <c r="E681" s="18"/>
      <c r="I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</row>
    <row r="682" spans="3:59" ht="21" customHeight="1">
      <c r="C682" s="18"/>
      <c r="D682" s="18"/>
      <c r="E682" s="18"/>
      <c r="I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</row>
    <row r="683" spans="3:59" ht="21" customHeight="1">
      <c r="C683" s="18"/>
      <c r="D683" s="18"/>
      <c r="E683" s="18"/>
      <c r="I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</row>
    <row r="684" spans="3:59" ht="21" customHeight="1">
      <c r="C684" s="18"/>
      <c r="D684" s="18"/>
      <c r="E684" s="18"/>
      <c r="I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</row>
    <row r="685" spans="3:59" ht="21" customHeight="1">
      <c r="C685" s="18"/>
      <c r="D685" s="18"/>
      <c r="E685" s="18"/>
      <c r="I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</row>
    <row r="686" spans="3:59" ht="21" customHeight="1">
      <c r="C686" s="18"/>
      <c r="D686" s="18"/>
      <c r="E686" s="18"/>
      <c r="I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</row>
    <row r="687" spans="3:59" ht="21" customHeight="1">
      <c r="C687" s="18"/>
      <c r="D687" s="18"/>
      <c r="E687" s="18"/>
      <c r="I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</row>
    <row r="688" spans="3:59" ht="21" customHeight="1">
      <c r="C688" s="18"/>
      <c r="D688" s="18"/>
      <c r="E688" s="18"/>
      <c r="I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</row>
    <row r="689" spans="3:59" ht="21" customHeight="1">
      <c r="C689" s="18"/>
      <c r="D689" s="18"/>
      <c r="E689" s="18"/>
      <c r="I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</row>
    <row r="690" spans="3:59" ht="21" customHeight="1">
      <c r="C690" s="18"/>
      <c r="D690" s="18"/>
      <c r="E690" s="18"/>
      <c r="I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</row>
    <row r="691" spans="3:59" ht="21" customHeight="1">
      <c r="C691" s="18"/>
      <c r="D691" s="18"/>
      <c r="E691" s="18"/>
      <c r="I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</row>
    <row r="692" spans="3:59" ht="21" customHeight="1">
      <c r="C692" s="18"/>
      <c r="D692" s="18"/>
      <c r="E692" s="18"/>
      <c r="I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</row>
    <row r="693" spans="3:59" ht="21" customHeight="1">
      <c r="C693" s="18"/>
      <c r="D693" s="18"/>
      <c r="E693" s="18"/>
      <c r="I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</row>
  </sheetData>
  <sheetProtection/>
  <mergeCells count="2">
    <mergeCell ref="C3:E3"/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david.kibiki</dc:creator>
  <cp:keywords/>
  <dc:description/>
  <cp:lastModifiedBy>Tanesco</cp:lastModifiedBy>
  <cp:lastPrinted>2015-07-23T12:15:20Z</cp:lastPrinted>
  <dcterms:created xsi:type="dcterms:W3CDTF">2012-06-14T10:02:56Z</dcterms:created>
  <dcterms:modified xsi:type="dcterms:W3CDTF">2016-02-24T12:56:33Z</dcterms:modified>
  <cp:category/>
  <cp:version/>
  <cp:contentType/>
  <cp:contentStatus/>
</cp:coreProperties>
</file>